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25" windowWidth="18975" windowHeight="7350"/>
  </bookViews>
  <sheets>
    <sheet name="งบจังหวัด60" sheetId="2" r:id="rId1"/>
    <sheet name="งบกลุ่ม60" sheetId="3" r:id="rId2"/>
    <sheet name="งบ 8 ล้าน" sheetId="4" r:id="rId3"/>
    <sheet name="เหมียว 250000" sheetId="5" r:id="rId4"/>
    <sheet name="Sheet1" sheetId="6" r:id="rId5"/>
    <sheet name="Sheet2" sheetId="7" r:id="rId6"/>
  </sheets>
  <definedNames>
    <definedName name="_xlnm.Print_Area" localSheetId="0">งบจังหวัด60!$A$1:$N$160</definedName>
    <definedName name="_xlnm.Print_Titles" localSheetId="4">Sheet1!$5:$6</definedName>
    <definedName name="_xlnm.Print_Titles" localSheetId="2">'งบ 8 ล้าน'!$4:$6</definedName>
    <definedName name="_xlnm.Print_Titles" localSheetId="1">งบกลุ่ม60!$5:$7</definedName>
    <definedName name="_xlnm.Print_Titles" localSheetId="0">งบจังหวัด60!$5:$7</definedName>
  </definedNames>
  <calcPr calcId="144525"/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J8" i="7"/>
  <c r="I7" i="7"/>
  <c r="K8" i="7"/>
  <c r="K9" i="7"/>
  <c r="K10" i="7"/>
  <c r="K12" i="7"/>
  <c r="K13" i="7"/>
  <c r="H14" i="7"/>
  <c r="I14" i="7"/>
  <c r="K14" i="7" s="1"/>
  <c r="K7" i="7"/>
  <c r="K11" i="7"/>
  <c r="C14" i="7"/>
  <c r="D14" i="7" s="1"/>
  <c r="E14" i="7" s="1"/>
  <c r="D9" i="7"/>
  <c r="E9" i="7" s="1"/>
  <c r="E8" i="7"/>
  <c r="D10" i="7" l="1"/>
  <c r="E10" i="7" l="1"/>
  <c r="D11" i="7"/>
  <c r="K112" i="2"/>
  <c r="K151" i="2"/>
  <c r="M159" i="2"/>
  <c r="M158" i="2"/>
  <c r="M157" i="2"/>
  <c r="M156" i="2"/>
  <c r="L159" i="2"/>
  <c r="L158" i="2"/>
  <c r="L157" i="2"/>
  <c r="L156" i="2"/>
  <c r="E11" i="7" l="1"/>
  <c r="D12" i="7"/>
  <c r="F33" i="4"/>
  <c r="K69" i="2"/>
  <c r="E12" i="7" l="1"/>
  <c r="D13" i="7"/>
  <c r="E13" i="7" s="1"/>
  <c r="F37" i="4"/>
  <c r="K155" i="2" l="1"/>
  <c r="F62" i="4"/>
  <c r="F61" i="4" l="1"/>
  <c r="F24" i="4"/>
  <c r="K120" i="2"/>
  <c r="L63" i="2" l="1"/>
  <c r="I133" i="2"/>
  <c r="L70" i="2"/>
  <c r="L59" i="2"/>
  <c r="D160" i="2"/>
  <c r="K81" i="2" l="1"/>
  <c r="K25" i="3"/>
  <c r="K29" i="3"/>
  <c r="K51" i="3"/>
  <c r="K55" i="2" l="1"/>
  <c r="F67" i="4"/>
  <c r="M60" i="2"/>
  <c r="L60" i="2"/>
  <c r="M48" i="2"/>
  <c r="K83" i="2" l="1"/>
  <c r="K78" i="2" l="1"/>
  <c r="K74" i="2" l="1"/>
  <c r="K77" i="2" l="1"/>
  <c r="C159" i="6"/>
  <c r="C158" i="6"/>
  <c r="C157" i="6"/>
  <c r="C156" i="6"/>
  <c r="C155" i="6"/>
  <c r="C154" i="6"/>
  <c r="E153" i="6"/>
  <c r="D153" i="6"/>
  <c r="C151" i="6"/>
  <c r="C150" i="6"/>
  <c r="C149" i="6"/>
  <c r="C148" i="6"/>
  <c r="C147" i="6"/>
  <c r="C146" i="6"/>
  <c r="C145" i="6"/>
  <c r="C144" i="6"/>
  <c r="C143" i="6"/>
  <c r="D142" i="6"/>
  <c r="C142" i="6" s="1"/>
  <c r="C141" i="6" s="1"/>
  <c r="E141" i="6"/>
  <c r="D141" i="6"/>
  <c r="D140" i="6" s="1"/>
  <c r="E140" i="6"/>
  <c r="C139" i="6"/>
  <c r="C138" i="6" s="1"/>
  <c r="E138" i="6"/>
  <c r="D138" i="6"/>
  <c r="C137" i="6"/>
  <c r="E136" i="6"/>
  <c r="D136" i="6"/>
  <c r="C135" i="6"/>
  <c r="E133" i="6"/>
  <c r="E132" i="6" s="1"/>
  <c r="D133" i="6"/>
  <c r="C129" i="6"/>
  <c r="C128" i="6"/>
  <c r="E127" i="6"/>
  <c r="D127" i="6"/>
  <c r="C122" i="6"/>
  <c r="C121" i="6"/>
  <c r="C120" i="6"/>
  <c r="C119" i="6"/>
  <c r="C118" i="6"/>
  <c r="E117" i="6"/>
  <c r="D117" i="6"/>
  <c r="D116" i="6" s="1"/>
  <c r="D115" i="6" s="1"/>
  <c r="E114" i="6"/>
  <c r="D113" i="6"/>
  <c r="C112" i="6"/>
  <c r="E111" i="6"/>
  <c r="D110" i="6"/>
  <c r="C108" i="6"/>
  <c r="C107" i="6" s="1"/>
  <c r="C106" i="6" s="1"/>
  <c r="E107" i="6"/>
  <c r="D107" i="6"/>
  <c r="D106" i="6" s="1"/>
  <c r="E106" i="6"/>
  <c r="E105" i="6"/>
  <c r="E104" i="6"/>
  <c r="D103" i="6"/>
  <c r="E102" i="6"/>
  <c r="E101" i="6"/>
  <c r="E100" i="6"/>
  <c r="E99" i="6"/>
  <c r="E98" i="6"/>
  <c r="D97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D82" i="6"/>
  <c r="C82" i="6" s="1"/>
  <c r="C81" i="6"/>
  <c r="C80" i="6" s="1"/>
  <c r="D80" i="6"/>
  <c r="D79" i="6" s="1"/>
  <c r="C79" i="6" s="1"/>
  <c r="C78" i="6"/>
  <c r="C77" i="6"/>
  <c r="C76" i="6"/>
  <c r="E75" i="6"/>
  <c r="D75" i="6"/>
  <c r="C75" i="6" s="1"/>
  <c r="C74" i="6"/>
  <c r="C73" i="6"/>
  <c r="C72" i="6"/>
  <c r="C71" i="6"/>
  <c r="E70" i="6"/>
  <c r="C69" i="6"/>
  <c r="D68" i="6"/>
  <c r="C67" i="6"/>
  <c r="C66" i="6"/>
  <c r="E65" i="6"/>
  <c r="C65" i="6" s="1"/>
  <c r="C64" i="6"/>
  <c r="C62" i="6"/>
  <c r="E61" i="6"/>
  <c r="C60" i="6"/>
  <c r="E59" i="6"/>
  <c r="D59" i="6"/>
  <c r="C57" i="6"/>
  <c r="E56" i="6"/>
  <c r="C56" i="6" s="1"/>
  <c r="C55" i="6"/>
  <c r="D54" i="6"/>
  <c r="C53" i="6"/>
  <c r="C52" i="6"/>
  <c r="E51" i="6"/>
  <c r="C50" i="6"/>
  <c r="C48" i="6"/>
  <c r="D47" i="6"/>
  <c r="C46" i="6"/>
  <c r="C45" i="6"/>
  <c r="E44" i="6"/>
  <c r="C43" i="6"/>
  <c r="D42" i="6"/>
  <c r="D41" i="6" s="1"/>
  <c r="E39" i="6"/>
  <c r="E38" i="6"/>
  <c r="E37" i="6"/>
  <c r="E36" i="6"/>
  <c r="E35" i="6"/>
  <c r="D34" i="6"/>
  <c r="C33" i="6"/>
  <c r="C32" i="6"/>
  <c r="E31" i="6"/>
  <c r="C31" i="6" s="1"/>
  <c r="C30" i="6"/>
  <c r="C29" i="6"/>
  <c r="C28" i="6"/>
  <c r="C27" i="6"/>
  <c r="E26" i="6"/>
  <c r="E25" i="6"/>
  <c r="E24" i="6"/>
  <c r="E23" i="6"/>
  <c r="C22" i="6"/>
  <c r="C21" i="6"/>
  <c r="C20" i="6"/>
  <c r="C19" i="6"/>
  <c r="E18" i="6"/>
  <c r="E17" i="6"/>
  <c r="E16" i="6"/>
  <c r="E15" i="6"/>
  <c r="E14" i="6"/>
  <c r="E13" i="6"/>
  <c r="E12" i="6"/>
  <c r="E10" i="6" s="1"/>
  <c r="C10" i="6" s="1"/>
  <c r="E11" i="6"/>
  <c r="D10" i="6"/>
  <c r="D9" i="6" s="1"/>
  <c r="E116" i="6" l="1"/>
  <c r="E115" i="6" s="1"/>
  <c r="C35" i="6"/>
  <c r="C136" i="6"/>
  <c r="E34" i="6"/>
  <c r="C34" i="6" s="1"/>
  <c r="C59" i="6"/>
  <c r="D109" i="6"/>
  <c r="E110" i="6"/>
  <c r="C111" i="6"/>
  <c r="E113" i="6"/>
  <c r="C114" i="6"/>
  <c r="C113" i="6" s="1"/>
  <c r="C127" i="6"/>
  <c r="C133" i="6"/>
  <c r="C23" i="6"/>
  <c r="E49" i="6"/>
  <c r="D96" i="6"/>
  <c r="C39" i="6"/>
  <c r="C51" i="6"/>
  <c r="C98" i="6"/>
  <c r="E103" i="6"/>
  <c r="C103" i="6" s="1"/>
  <c r="C104" i="6"/>
  <c r="D132" i="6"/>
  <c r="D131" i="6" s="1"/>
  <c r="D130" i="6" s="1"/>
  <c r="E131" i="6"/>
  <c r="E130" i="6" s="1"/>
  <c r="C12" i="6"/>
  <c r="C15" i="6"/>
  <c r="C17" i="6"/>
  <c r="C25" i="6"/>
  <c r="C37" i="6"/>
  <c r="E97" i="6"/>
  <c r="C99" i="6"/>
  <c r="C105" i="6"/>
  <c r="C132" i="6"/>
  <c r="C153" i="6"/>
  <c r="C11" i="6"/>
  <c r="C13" i="6"/>
  <c r="C14" i="6"/>
  <c r="C16" i="6"/>
  <c r="C18" i="6"/>
  <c r="C24" i="6"/>
  <c r="C26" i="6"/>
  <c r="C36" i="6"/>
  <c r="C38" i="6"/>
  <c r="E42" i="6"/>
  <c r="C44" i="6"/>
  <c r="E54" i="6"/>
  <c r="C54" i="6" s="1"/>
  <c r="D58" i="6"/>
  <c r="E63" i="6"/>
  <c r="E68" i="6"/>
  <c r="C68" i="6" s="1"/>
  <c r="C70" i="6"/>
  <c r="C140" i="6"/>
  <c r="C100" i="6"/>
  <c r="C101" i="6"/>
  <c r="C102" i="6"/>
  <c r="C117" i="6"/>
  <c r="C116" i="6" s="1"/>
  <c r="C115" i="6" s="1"/>
  <c r="C131" i="6" l="1"/>
  <c r="C130" i="6" s="1"/>
  <c r="E9" i="6"/>
  <c r="C110" i="6"/>
  <c r="C109" i="6" s="1"/>
  <c r="E109" i="6"/>
  <c r="C49" i="6"/>
  <c r="E47" i="6"/>
  <c r="C47" i="6" s="1"/>
  <c r="E96" i="6"/>
  <c r="C97" i="6"/>
  <c r="D40" i="6"/>
  <c r="C63" i="6"/>
  <c r="E58" i="6"/>
  <c r="C58" i="6" s="1"/>
  <c r="C42" i="6"/>
  <c r="K64" i="2"/>
  <c r="E114" i="2"/>
  <c r="E111" i="2"/>
  <c r="E105" i="2"/>
  <c r="E104" i="2"/>
  <c r="E102" i="2"/>
  <c r="E101" i="2"/>
  <c r="E100" i="2"/>
  <c r="E99" i="2"/>
  <c r="E98" i="2"/>
  <c r="E51" i="2"/>
  <c r="E39" i="2"/>
  <c r="E38" i="2"/>
  <c r="E37" i="2"/>
  <c r="E36" i="2"/>
  <c r="E35" i="2"/>
  <c r="E26" i="2"/>
  <c r="E25" i="2"/>
  <c r="E24" i="2"/>
  <c r="E23" i="2"/>
  <c r="E18" i="2"/>
  <c r="E17" i="2"/>
  <c r="E16" i="2"/>
  <c r="E15" i="2"/>
  <c r="E14" i="2"/>
  <c r="E13" i="2"/>
  <c r="E12" i="2"/>
  <c r="E11" i="2"/>
  <c r="C157" i="2"/>
  <c r="C158" i="2"/>
  <c r="C159" i="2"/>
  <c r="C156" i="2"/>
  <c r="C153" i="2"/>
  <c r="C160" i="2" s="1"/>
  <c r="E153" i="2"/>
  <c r="D153" i="2"/>
  <c r="C9" i="6" l="1"/>
  <c r="E41" i="6"/>
  <c r="C41" i="6" s="1"/>
  <c r="C96" i="6"/>
  <c r="D8" i="6"/>
  <c r="E40" i="6" l="1"/>
  <c r="D160" i="6"/>
  <c r="D7" i="6"/>
  <c r="F51" i="4"/>
  <c r="F52" i="4"/>
  <c r="D51" i="4"/>
  <c r="K43" i="2"/>
  <c r="E8" i="6" l="1"/>
  <c r="C40" i="6"/>
  <c r="K94" i="2"/>
  <c r="K91" i="2"/>
  <c r="E7" i="6" l="1"/>
  <c r="E160" i="6"/>
  <c r="C8" i="6"/>
  <c r="L61" i="2"/>
  <c r="K59" i="2"/>
  <c r="K61" i="2"/>
  <c r="E59" i="2"/>
  <c r="E61" i="2"/>
  <c r="J62" i="2"/>
  <c r="F26" i="4"/>
  <c r="K108" i="2"/>
  <c r="P10" i="2"/>
  <c r="P13" i="2"/>
  <c r="K44" i="2"/>
  <c r="E44" i="2"/>
  <c r="C160" i="6" l="1"/>
  <c r="C7" i="6"/>
  <c r="F35" i="4"/>
  <c r="F16" i="4"/>
  <c r="F38" i="4" l="1"/>
  <c r="K76" i="2" l="1"/>
  <c r="K119" i="2"/>
  <c r="F10" i="4"/>
  <c r="F9" i="4"/>
  <c r="D5" i="5" l="1"/>
  <c r="F36" i="4"/>
  <c r="L24" i="3" l="1"/>
  <c r="M24" i="3"/>
  <c r="F34" i="4" l="1"/>
  <c r="C155" i="2"/>
  <c r="P6" i="2"/>
  <c r="M155" i="2" l="1"/>
  <c r="M154" i="2"/>
  <c r="L155" i="2"/>
  <c r="L154" i="2"/>
  <c r="K153" i="2"/>
  <c r="C154" i="2"/>
  <c r="D7" i="2"/>
  <c r="L153" i="2" l="1"/>
  <c r="C51" i="4" l="1"/>
  <c r="K121" i="2"/>
  <c r="F42" i="4"/>
  <c r="F53" i="4"/>
  <c r="G58" i="4"/>
  <c r="C58" i="4"/>
  <c r="H58" i="4" s="1"/>
  <c r="H57" i="4"/>
  <c r="G57" i="4"/>
  <c r="C57" i="4"/>
  <c r="H56" i="4"/>
  <c r="C56" i="4"/>
  <c r="G56" i="4"/>
  <c r="H55" i="4"/>
  <c r="G55" i="4"/>
  <c r="C55" i="4"/>
  <c r="C49" i="4"/>
  <c r="H49" i="4"/>
  <c r="G49" i="4"/>
  <c r="G48" i="4"/>
  <c r="C48" i="4"/>
  <c r="H48" i="4"/>
  <c r="H47" i="4"/>
  <c r="G47" i="4"/>
  <c r="C47" i="4"/>
  <c r="C46" i="4"/>
  <c r="H46" i="4" s="1"/>
  <c r="G46" i="4"/>
  <c r="H45" i="4"/>
  <c r="G45" i="4"/>
  <c r="C45" i="4"/>
  <c r="F40" i="4" l="1"/>
  <c r="F25" i="4" l="1"/>
  <c r="K125" i="2" l="1"/>
  <c r="F19" i="4" l="1"/>
  <c r="F17" i="4"/>
  <c r="F18" i="4"/>
  <c r="F66" i="4" l="1"/>
  <c r="K139" i="2" l="1"/>
  <c r="K134" i="2"/>
  <c r="M49" i="3" l="1"/>
  <c r="L49" i="3"/>
  <c r="L42" i="3"/>
  <c r="M42" i="3"/>
  <c r="M40" i="3"/>
  <c r="L40" i="3"/>
  <c r="M37" i="3"/>
  <c r="L37" i="3"/>
  <c r="M35" i="3"/>
  <c r="L35" i="3"/>
  <c r="M20" i="3"/>
  <c r="M18" i="3"/>
  <c r="M19" i="3"/>
  <c r="M17" i="3"/>
  <c r="L20" i="3"/>
  <c r="L18" i="3"/>
  <c r="L19" i="3"/>
  <c r="L17" i="3"/>
  <c r="L51" i="2"/>
  <c r="L39" i="2"/>
  <c r="L38" i="2"/>
  <c r="L37" i="2"/>
  <c r="L36" i="2"/>
  <c r="L35" i="2"/>
  <c r="L33" i="2"/>
  <c r="L26" i="2"/>
  <c r="L24" i="2"/>
  <c r="L23" i="2"/>
  <c r="L18" i="2"/>
  <c r="L16" i="2"/>
  <c r="L15" i="2"/>
  <c r="L12" i="2"/>
  <c r="L11" i="2"/>
  <c r="L34" i="2" l="1"/>
  <c r="M69" i="2"/>
  <c r="L69" i="2"/>
  <c r="M71" i="2" l="1"/>
  <c r="M67" i="2"/>
  <c r="J67" i="2"/>
  <c r="J66" i="2"/>
  <c r="L65" i="2"/>
  <c r="M57" i="2"/>
  <c r="M50" i="2"/>
  <c r="M51" i="2"/>
  <c r="M45" i="2"/>
  <c r="M46" i="2"/>
  <c r="K92" i="2"/>
  <c r="J31" i="3" l="1"/>
  <c r="F68" i="4" l="1"/>
  <c r="K86" i="2" l="1"/>
  <c r="K93" i="2"/>
  <c r="L127" i="2" l="1"/>
  <c r="L113" i="2"/>
  <c r="L103" i="2"/>
  <c r="J111" i="2"/>
  <c r="L31" i="2"/>
  <c r="C46" i="2" l="1"/>
  <c r="C45" i="2"/>
  <c r="C51" i="2"/>
  <c r="C52" i="2"/>
  <c r="C53" i="2"/>
  <c r="C50" i="2"/>
  <c r="C57" i="2"/>
  <c r="C67" i="2"/>
  <c r="C66" i="2"/>
  <c r="C73" i="2"/>
  <c r="C72" i="2"/>
  <c r="C71" i="2"/>
  <c r="C105" i="2"/>
  <c r="C104" i="2"/>
  <c r="C99" i="2"/>
  <c r="C100" i="2"/>
  <c r="C101" i="2"/>
  <c r="C102" i="2"/>
  <c r="C98" i="2"/>
  <c r="C84" i="2"/>
  <c r="C85" i="2"/>
  <c r="C86" i="2"/>
  <c r="C87" i="2"/>
  <c r="C88" i="2"/>
  <c r="C89" i="2"/>
  <c r="C90" i="2"/>
  <c r="C91" i="2"/>
  <c r="C92" i="2"/>
  <c r="C93" i="2"/>
  <c r="C94" i="2"/>
  <c r="C95" i="2"/>
  <c r="C83" i="2"/>
  <c r="C70" i="2"/>
  <c r="C69" i="2"/>
  <c r="C65" i="2"/>
  <c r="C64" i="2"/>
  <c r="C62" i="2"/>
  <c r="C60" i="2"/>
  <c r="C56" i="2"/>
  <c r="C55" i="2"/>
  <c r="C44" i="2"/>
  <c r="C43" i="2"/>
  <c r="C48" i="2"/>
  <c r="C36" i="2"/>
  <c r="C37" i="2"/>
  <c r="C38" i="2"/>
  <c r="C39" i="2"/>
  <c r="C35" i="2"/>
  <c r="C33" i="2"/>
  <c r="C32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2" i="2"/>
  <c r="C13" i="2"/>
  <c r="C14" i="2"/>
  <c r="C15" i="2"/>
  <c r="C16" i="2"/>
  <c r="C11" i="2"/>
  <c r="M56" i="2" l="1"/>
  <c r="L56" i="2"/>
  <c r="L57" i="2"/>
  <c r="F43" i="4"/>
  <c r="J60" i="3" l="1"/>
  <c r="J30" i="2" l="1"/>
  <c r="J29" i="2"/>
  <c r="J28" i="2"/>
  <c r="J27" i="2"/>
  <c r="J22" i="2"/>
  <c r="J21" i="2"/>
  <c r="J20" i="2"/>
  <c r="J19" i="2"/>
  <c r="C54" i="4" l="1"/>
  <c r="F54" i="4"/>
  <c r="K123" i="2" l="1"/>
  <c r="I49" i="2" l="1"/>
  <c r="I47" i="2" s="1"/>
  <c r="J44" i="2"/>
  <c r="J42" i="2" s="1"/>
  <c r="I42" i="2"/>
  <c r="I44" i="2"/>
  <c r="J46" i="2"/>
  <c r="J45" i="2"/>
  <c r="J53" i="2"/>
  <c r="J52" i="2"/>
  <c r="K56" i="2" l="1"/>
  <c r="J57" i="2"/>
  <c r="J56" i="2" s="1"/>
  <c r="J54" i="2" s="1"/>
  <c r="I56" i="2"/>
  <c r="I54" i="2" s="1"/>
  <c r="K42" i="2"/>
  <c r="J50" i="2" l="1"/>
  <c r="I14" i="3" l="1"/>
  <c r="I10" i="3" s="1"/>
  <c r="J39" i="3"/>
  <c r="I39" i="3"/>
  <c r="J38" i="3"/>
  <c r="I38" i="3"/>
  <c r="J36" i="3"/>
  <c r="I36" i="3"/>
  <c r="J34" i="3"/>
  <c r="I34" i="3"/>
  <c r="J30" i="3"/>
  <c r="J28" i="3" s="1"/>
  <c r="I30" i="3"/>
  <c r="I28" i="3" s="1"/>
  <c r="I9" i="3" s="1"/>
  <c r="I8" i="3" s="1"/>
  <c r="J21" i="3"/>
  <c r="J23" i="3"/>
  <c r="I23" i="3"/>
  <c r="I21" i="3" s="1"/>
  <c r="J11" i="3"/>
  <c r="J10" i="3" s="1"/>
  <c r="J14" i="3"/>
  <c r="J16" i="3"/>
  <c r="I16" i="3"/>
  <c r="J35" i="3"/>
  <c r="J20" i="3"/>
  <c r="J18" i="3"/>
  <c r="J19" i="3"/>
  <c r="J17" i="3"/>
  <c r="J40" i="3"/>
  <c r="J37" i="3"/>
  <c r="J24" i="3"/>
  <c r="I7" i="3" l="1"/>
  <c r="I52" i="3"/>
  <c r="J9" i="3"/>
  <c r="J8" i="3" s="1"/>
  <c r="J52" i="3" l="1"/>
  <c r="J7" i="3"/>
  <c r="J105" i="2" l="1"/>
  <c r="J104" i="2"/>
  <c r="J15" i="2"/>
  <c r="F12" i="4" l="1"/>
  <c r="M64" i="2"/>
  <c r="L64" i="2"/>
  <c r="M55" i="2" l="1"/>
  <c r="L55" i="2"/>
  <c r="L54" i="2" s="1"/>
  <c r="K54" i="2"/>
  <c r="E54" i="2"/>
  <c r="E56" i="2"/>
  <c r="D54" i="2"/>
  <c r="M134" i="2" l="1"/>
  <c r="L134" i="2"/>
  <c r="K133" i="2"/>
  <c r="D133" i="2"/>
  <c r="K122" i="2" l="1"/>
  <c r="J47" i="3" l="1"/>
  <c r="I47" i="3"/>
  <c r="J48" i="3"/>
  <c r="I48" i="3"/>
  <c r="J49" i="3"/>
  <c r="J39" i="2" l="1"/>
  <c r="J38" i="2"/>
  <c r="J37" i="2"/>
  <c r="J33" i="2"/>
  <c r="J26" i="2"/>
  <c r="J24" i="2"/>
  <c r="J18" i="2"/>
  <c r="J17" i="2"/>
  <c r="J14" i="2"/>
  <c r="J13" i="2"/>
  <c r="J59" i="2"/>
  <c r="I59" i="2"/>
  <c r="D59" i="2"/>
  <c r="D68" i="2" l="1"/>
  <c r="E68" i="2"/>
  <c r="E70" i="2"/>
  <c r="E63" i="2"/>
  <c r="E65" i="2"/>
  <c r="J65" i="2"/>
  <c r="J63" i="2" s="1"/>
  <c r="I65" i="2"/>
  <c r="I63" i="2" s="1"/>
  <c r="K65" i="2"/>
  <c r="L72" i="2"/>
  <c r="L73" i="2"/>
  <c r="L71" i="2"/>
  <c r="K70" i="2"/>
  <c r="J70" i="2"/>
  <c r="J68" i="2" s="1"/>
  <c r="I70" i="2"/>
  <c r="I68" i="2" s="1"/>
  <c r="J142" i="2"/>
  <c r="I142" i="2"/>
  <c r="J141" i="2"/>
  <c r="I141" i="2"/>
  <c r="J140" i="2"/>
  <c r="I140" i="2"/>
  <c r="J138" i="2"/>
  <c r="I138" i="2"/>
  <c r="J136" i="2"/>
  <c r="I136" i="2"/>
  <c r="I132" i="2"/>
  <c r="J127" i="2"/>
  <c r="I127" i="2"/>
  <c r="J117" i="2"/>
  <c r="I117" i="2"/>
  <c r="J116" i="2"/>
  <c r="I116" i="2"/>
  <c r="I115" i="2" s="1"/>
  <c r="J115" i="2"/>
  <c r="I113" i="2"/>
  <c r="J110" i="2"/>
  <c r="I110" i="2"/>
  <c r="I109" i="2" s="1"/>
  <c r="J107" i="2"/>
  <c r="I107" i="2"/>
  <c r="J106" i="2"/>
  <c r="I106" i="2"/>
  <c r="J103" i="2"/>
  <c r="I103" i="2"/>
  <c r="I97" i="2"/>
  <c r="I96" i="2" s="1"/>
  <c r="J82" i="2"/>
  <c r="I82" i="2"/>
  <c r="J80" i="2"/>
  <c r="I80" i="2"/>
  <c r="J79" i="2"/>
  <c r="I79" i="2"/>
  <c r="J75" i="2"/>
  <c r="I75" i="2"/>
  <c r="I41" i="2"/>
  <c r="J31" i="2"/>
  <c r="I31" i="2"/>
  <c r="I34" i="2"/>
  <c r="I10" i="2"/>
  <c r="J114" i="2"/>
  <c r="J113" i="2" s="1"/>
  <c r="J99" i="2"/>
  <c r="J100" i="2"/>
  <c r="J101" i="2"/>
  <c r="J102" i="2"/>
  <c r="J98" i="2"/>
  <c r="J51" i="2"/>
  <c r="J49" i="2" s="1"/>
  <c r="J47" i="2" s="1"/>
  <c r="J41" i="2" s="1"/>
  <c r="J36" i="2"/>
  <c r="J35" i="2"/>
  <c r="J34" i="2" s="1"/>
  <c r="J25" i="2"/>
  <c r="J23" i="2"/>
  <c r="J16" i="2"/>
  <c r="J12" i="2"/>
  <c r="J11" i="2"/>
  <c r="J135" i="2"/>
  <c r="J133" i="2" s="1"/>
  <c r="J132" i="2" s="1"/>
  <c r="J131" i="2" s="1"/>
  <c r="J130" i="2" s="1"/>
  <c r="J10" i="2" l="1"/>
  <c r="J9" i="2" s="1"/>
  <c r="K63" i="2"/>
  <c r="K68" i="2"/>
  <c r="M70" i="2"/>
  <c r="J109" i="2"/>
  <c r="J97" i="2"/>
  <c r="J96" i="2" s="1"/>
  <c r="I131" i="2"/>
  <c r="I130" i="2" s="1"/>
  <c r="J58" i="2"/>
  <c r="J40" i="2" s="1"/>
  <c r="I9" i="2"/>
  <c r="I58" i="2"/>
  <c r="I40" i="2" s="1"/>
  <c r="J8" i="2" l="1"/>
  <c r="J160" i="2" s="1"/>
  <c r="I8" i="2"/>
  <c r="J7" i="2" l="1"/>
  <c r="I7" i="2"/>
  <c r="I160" i="2"/>
  <c r="D6" i="5" l="1"/>
  <c r="C6" i="5"/>
  <c r="F5" i="5"/>
  <c r="F6" i="5" s="1"/>
  <c r="E5" i="5"/>
  <c r="E6" i="5" s="1"/>
  <c r="M51" i="3" l="1"/>
  <c r="L51" i="3"/>
  <c r="C44" i="4" l="1"/>
  <c r="G44" i="4" s="1"/>
  <c r="H44" i="4" l="1"/>
  <c r="G18" i="4" l="1"/>
  <c r="G19" i="4"/>
  <c r="G26" i="4"/>
  <c r="G13" i="4" l="1"/>
  <c r="G12" i="4"/>
  <c r="G11" i="4"/>
  <c r="G10" i="4"/>
  <c r="H12" i="4"/>
  <c r="H11" i="4"/>
  <c r="H10" i="4"/>
  <c r="F15" i="4"/>
  <c r="F14" i="4" s="1"/>
  <c r="G16" i="4" l="1"/>
  <c r="L46" i="2"/>
  <c r="L45" i="2"/>
  <c r="M43" i="2"/>
  <c r="L43" i="2"/>
  <c r="M44" i="2"/>
  <c r="D42" i="2"/>
  <c r="L53" i="2"/>
  <c r="L50" i="2"/>
  <c r="L48" i="2"/>
  <c r="K49" i="2"/>
  <c r="K47" i="2" s="1"/>
  <c r="E47" i="2"/>
  <c r="E49" i="2"/>
  <c r="C49" i="2" s="1"/>
  <c r="D47" i="2"/>
  <c r="L49" i="2" l="1"/>
  <c r="L47" i="2" s="1"/>
  <c r="M49" i="2"/>
  <c r="L44" i="2"/>
  <c r="L42" i="2" s="1"/>
  <c r="E42" i="2"/>
  <c r="C42" i="2" s="1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F60" i="4"/>
  <c r="D60" i="4"/>
  <c r="C60" i="4"/>
  <c r="D59" i="4"/>
  <c r="H54" i="4"/>
  <c r="G54" i="4"/>
  <c r="H53" i="4"/>
  <c r="H51" i="4"/>
  <c r="G51" i="4"/>
  <c r="D50" i="4"/>
  <c r="C50" i="4"/>
  <c r="H41" i="4"/>
  <c r="G41" i="4"/>
  <c r="H40" i="4"/>
  <c r="G40" i="4"/>
  <c r="F39" i="4"/>
  <c r="D39" i="4"/>
  <c r="C39" i="4"/>
  <c r="H38" i="4"/>
  <c r="G38" i="4"/>
  <c r="H37" i="4"/>
  <c r="G37" i="4"/>
  <c r="H36" i="4"/>
  <c r="G36" i="4"/>
  <c r="H35" i="4"/>
  <c r="G35" i="4"/>
  <c r="H34" i="4"/>
  <c r="G34" i="4"/>
  <c r="H33" i="4"/>
  <c r="G33" i="4"/>
  <c r="F32" i="4"/>
  <c r="D32" i="4"/>
  <c r="C32" i="4"/>
  <c r="H31" i="4"/>
  <c r="G31" i="4"/>
  <c r="H30" i="4"/>
  <c r="G30" i="4"/>
  <c r="H29" i="4"/>
  <c r="G29" i="4"/>
  <c r="H28" i="4"/>
  <c r="G28" i="4"/>
  <c r="H27" i="4"/>
  <c r="G27" i="4"/>
  <c r="H26" i="4"/>
  <c r="H25" i="4"/>
  <c r="G25" i="4"/>
  <c r="H24" i="4"/>
  <c r="G24" i="4"/>
  <c r="F23" i="4"/>
  <c r="D23" i="4"/>
  <c r="C23" i="4"/>
  <c r="C22" i="4" s="1"/>
  <c r="H21" i="4"/>
  <c r="G21" i="4"/>
  <c r="F20" i="4"/>
  <c r="D20" i="4"/>
  <c r="C20" i="4"/>
  <c r="G20" i="4" s="1"/>
  <c r="H19" i="4"/>
  <c r="H18" i="4"/>
  <c r="H17" i="4"/>
  <c r="G17" i="4"/>
  <c r="D15" i="4"/>
  <c r="D14" i="4" s="1"/>
  <c r="C15" i="4"/>
  <c r="H13" i="4"/>
  <c r="D8" i="4"/>
  <c r="D7" i="4" s="1"/>
  <c r="C8" i="4"/>
  <c r="C7" i="4" s="1"/>
  <c r="L41" i="2" l="1"/>
  <c r="H39" i="4"/>
  <c r="G32" i="4"/>
  <c r="G39" i="4"/>
  <c r="D22" i="4"/>
  <c r="D6" i="4" s="1"/>
  <c r="C6" i="4" s="1"/>
  <c r="H23" i="4"/>
  <c r="H43" i="4"/>
  <c r="G43" i="4"/>
  <c r="F8" i="4"/>
  <c r="G9" i="4"/>
  <c r="H9" i="4"/>
  <c r="G60" i="4"/>
  <c r="G23" i="4"/>
  <c r="G15" i="4"/>
  <c r="H15" i="4"/>
  <c r="H20" i="4"/>
  <c r="H32" i="4"/>
  <c r="H60" i="4"/>
  <c r="C14" i="4"/>
  <c r="H16" i="4"/>
  <c r="F50" i="4"/>
  <c r="G53" i="4"/>
  <c r="C59" i="4"/>
  <c r="F59" i="4"/>
  <c r="C135" i="2"/>
  <c r="M135" i="2" s="1"/>
  <c r="G8" i="4" l="1"/>
  <c r="F7" i="4"/>
  <c r="H8" i="4"/>
  <c r="L135" i="2"/>
  <c r="H59" i="4"/>
  <c r="G14" i="4"/>
  <c r="G59" i="4"/>
  <c r="G50" i="4"/>
  <c r="H50" i="4"/>
  <c r="G42" i="4"/>
  <c r="H42" i="4"/>
  <c r="F22" i="4"/>
  <c r="F6" i="4" s="1"/>
  <c r="H14" i="4"/>
  <c r="H7" i="4" l="1"/>
  <c r="G7" i="4"/>
  <c r="G6" i="4"/>
  <c r="K152" i="2"/>
  <c r="H6" i="4"/>
  <c r="H22" i="4"/>
  <c r="G22" i="4"/>
  <c r="L152" i="2" l="1"/>
  <c r="M152" i="2"/>
  <c r="M105" i="2"/>
  <c r="M104" i="2"/>
  <c r="M99" i="2"/>
  <c r="M100" i="2"/>
  <c r="M101" i="2"/>
  <c r="M102" i="2"/>
  <c r="M98" i="2"/>
  <c r="L102" i="2"/>
  <c r="L97" i="2" s="1"/>
  <c r="L96" i="2" s="1"/>
  <c r="M84" i="2"/>
  <c r="M85" i="2"/>
  <c r="M86" i="2"/>
  <c r="M87" i="2"/>
  <c r="M88" i="2"/>
  <c r="M89" i="2"/>
  <c r="M90" i="2"/>
  <c r="M91" i="2"/>
  <c r="M92" i="2"/>
  <c r="M93" i="2"/>
  <c r="M94" i="2"/>
  <c r="M95" i="2"/>
  <c r="M83" i="2"/>
  <c r="L84" i="2"/>
  <c r="L85" i="2"/>
  <c r="L86" i="2"/>
  <c r="L87" i="2"/>
  <c r="L88" i="2"/>
  <c r="L89" i="2"/>
  <c r="L90" i="2"/>
  <c r="L91" i="2"/>
  <c r="L92" i="2"/>
  <c r="L93" i="2"/>
  <c r="L94" i="2"/>
  <c r="L95" i="2"/>
  <c r="L83" i="2"/>
  <c r="M36" i="2"/>
  <c r="M37" i="2"/>
  <c r="M38" i="2"/>
  <c r="M39" i="2"/>
  <c r="M35" i="2"/>
  <c r="E31" i="2"/>
  <c r="C31" i="2" s="1"/>
  <c r="M33" i="2"/>
  <c r="M12" i="2"/>
  <c r="M15" i="2"/>
  <c r="M16" i="2"/>
  <c r="M18" i="2"/>
  <c r="M19" i="2"/>
  <c r="M21" i="2"/>
  <c r="M23" i="2"/>
  <c r="M24" i="2"/>
  <c r="M26" i="2"/>
  <c r="M27" i="2"/>
  <c r="M28" i="2"/>
  <c r="M29" i="2"/>
  <c r="M30" i="2"/>
  <c r="M11" i="2"/>
  <c r="D142" i="2"/>
  <c r="E141" i="2"/>
  <c r="E140" i="2" s="1"/>
  <c r="D138" i="2"/>
  <c r="E138" i="2"/>
  <c r="D136" i="2"/>
  <c r="E136" i="2"/>
  <c r="D132" i="2"/>
  <c r="D131" i="2" s="1"/>
  <c r="D130" i="2" s="1"/>
  <c r="D127" i="2"/>
  <c r="E127" i="2"/>
  <c r="D117" i="2"/>
  <c r="E117" i="2"/>
  <c r="D116" i="2"/>
  <c r="E116" i="2"/>
  <c r="D115" i="2"/>
  <c r="E115" i="2"/>
  <c r="D113" i="2"/>
  <c r="E113" i="2"/>
  <c r="D110" i="2"/>
  <c r="E110" i="2"/>
  <c r="D109" i="2"/>
  <c r="D107" i="2"/>
  <c r="E107" i="2"/>
  <c r="D106" i="2"/>
  <c r="E106" i="2"/>
  <c r="D103" i="2"/>
  <c r="E103" i="2"/>
  <c r="C103" i="2" s="1"/>
  <c r="D97" i="2"/>
  <c r="E97" i="2"/>
  <c r="C97" i="2" s="1"/>
  <c r="D96" i="2"/>
  <c r="E96" i="2"/>
  <c r="C96" i="2" s="1"/>
  <c r="D82" i="2"/>
  <c r="C82" i="2" s="1"/>
  <c r="D80" i="2"/>
  <c r="D75" i="2"/>
  <c r="C75" i="2" s="1"/>
  <c r="E75" i="2"/>
  <c r="D58" i="2"/>
  <c r="E58" i="2"/>
  <c r="D41" i="2"/>
  <c r="E41" i="2"/>
  <c r="D34" i="2"/>
  <c r="E34" i="2"/>
  <c r="C34" i="2" s="1"/>
  <c r="D10" i="2"/>
  <c r="E10" i="2"/>
  <c r="E9" i="2" s="1"/>
  <c r="K50" i="3"/>
  <c r="M50" i="3" s="1"/>
  <c r="K48" i="3"/>
  <c r="M44" i="3"/>
  <c r="M45" i="3"/>
  <c r="M46" i="3"/>
  <c r="M43" i="3"/>
  <c r="L44" i="3"/>
  <c r="L45" i="3"/>
  <c r="L46" i="3"/>
  <c r="L43" i="3"/>
  <c r="K41" i="3"/>
  <c r="K39" i="3"/>
  <c r="M39" i="3" s="1"/>
  <c r="K36" i="3"/>
  <c r="K34" i="3"/>
  <c r="M33" i="3"/>
  <c r="M32" i="3"/>
  <c r="M29" i="3"/>
  <c r="K30" i="3"/>
  <c r="L29" i="3"/>
  <c r="M22" i="3"/>
  <c r="K23" i="3"/>
  <c r="L22" i="3"/>
  <c r="M15" i="3"/>
  <c r="L15" i="3"/>
  <c r="K16" i="3"/>
  <c r="M16" i="3" s="1"/>
  <c r="K11" i="3"/>
  <c r="E48" i="3"/>
  <c r="D47" i="3"/>
  <c r="E39" i="3"/>
  <c r="D39" i="3"/>
  <c r="L39" i="3" s="1"/>
  <c r="E34" i="3"/>
  <c r="E36" i="3"/>
  <c r="C50" i="3"/>
  <c r="E50" i="3"/>
  <c r="C48" i="3"/>
  <c r="D48" i="3"/>
  <c r="C33" i="3"/>
  <c r="L33" i="3" s="1"/>
  <c r="C32" i="3"/>
  <c r="L32" i="3" s="1"/>
  <c r="D36" i="3"/>
  <c r="C36" i="3" s="1"/>
  <c r="D34" i="3"/>
  <c r="C34" i="3" s="1"/>
  <c r="C25" i="3"/>
  <c r="M25" i="3" s="1"/>
  <c r="E42" i="3"/>
  <c r="E41" i="3" s="1"/>
  <c r="E38" i="3" s="1"/>
  <c r="E28" i="3"/>
  <c r="D28" i="3"/>
  <c r="C28" i="3" s="1"/>
  <c r="D30" i="3"/>
  <c r="C27" i="3"/>
  <c r="M27" i="3" s="1"/>
  <c r="C26" i="3"/>
  <c r="M26" i="3" s="1"/>
  <c r="E21" i="3"/>
  <c r="D23" i="3"/>
  <c r="D21" i="3" s="1"/>
  <c r="C21" i="3" s="1"/>
  <c r="D16" i="3"/>
  <c r="E14" i="3"/>
  <c r="E10" i="3" s="1"/>
  <c r="E9" i="3" s="1"/>
  <c r="E133" i="2"/>
  <c r="E132" i="2" s="1"/>
  <c r="C47" i="3"/>
  <c r="C151" i="2"/>
  <c r="C150" i="2"/>
  <c r="C149" i="2"/>
  <c r="C148" i="2"/>
  <c r="C147" i="2"/>
  <c r="C146" i="2"/>
  <c r="C145" i="2"/>
  <c r="C144" i="2"/>
  <c r="C143" i="2"/>
  <c r="K142" i="2"/>
  <c r="K141" i="2" s="1"/>
  <c r="C139" i="2"/>
  <c r="K138" i="2"/>
  <c r="C137" i="2"/>
  <c r="K136" i="2"/>
  <c r="C133" i="2"/>
  <c r="K132" i="2"/>
  <c r="C129" i="2"/>
  <c r="C128" i="2"/>
  <c r="K127" i="2"/>
  <c r="C122" i="2"/>
  <c r="C121" i="2"/>
  <c r="C120" i="2"/>
  <c r="C119" i="2"/>
  <c r="C118" i="2"/>
  <c r="K117" i="2"/>
  <c r="C114" i="2"/>
  <c r="K113" i="2"/>
  <c r="C112" i="2"/>
  <c r="C111" i="2"/>
  <c r="K110" i="2"/>
  <c r="C108" i="2"/>
  <c r="K107" i="2"/>
  <c r="K103" i="2"/>
  <c r="K97" i="2"/>
  <c r="M97" i="2" s="1"/>
  <c r="K82" i="2"/>
  <c r="C81" i="2"/>
  <c r="K80" i="2"/>
  <c r="C78" i="2"/>
  <c r="M78" i="2" s="1"/>
  <c r="C77" i="2"/>
  <c r="L77" i="2" s="1"/>
  <c r="C76" i="2"/>
  <c r="L76" i="2" s="1"/>
  <c r="K75" i="2"/>
  <c r="C74" i="2"/>
  <c r="M74" i="2" s="1"/>
  <c r="C68" i="2"/>
  <c r="M68" i="2" s="1"/>
  <c r="C63" i="2"/>
  <c r="M63" i="2" s="1"/>
  <c r="C59" i="2"/>
  <c r="K58" i="2"/>
  <c r="C54" i="2"/>
  <c r="M54" i="2" s="1"/>
  <c r="C47" i="2"/>
  <c r="M47" i="2" s="1"/>
  <c r="K41" i="2"/>
  <c r="K34" i="2"/>
  <c r="K31" i="2"/>
  <c r="K10" i="2"/>
  <c r="M59" i="2" l="1"/>
  <c r="L10" i="2"/>
  <c r="L9" i="2" s="1"/>
  <c r="L11" i="3"/>
  <c r="M11" i="3"/>
  <c r="L16" i="3"/>
  <c r="L82" i="2"/>
  <c r="C107" i="2"/>
  <c r="C106" i="2" s="1"/>
  <c r="M108" i="2"/>
  <c r="L108" i="2"/>
  <c r="L107" i="2" s="1"/>
  <c r="L106" i="2" s="1"/>
  <c r="E40" i="2"/>
  <c r="E8" i="2" s="1"/>
  <c r="C58" i="2"/>
  <c r="M58" i="2" s="1"/>
  <c r="L81" i="2"/>
  <c r="L80" i="2" s="1"/>
  <c r="M81" i="2"/>
  <c r="L50" i="3"/>
  <c r="K106" i="2"/>
  <c r="M106" i="2" s="1"/>
  <c r="C41" i="2"/>
  <c r="M41" i="2" s="1"/>
  <c r="D40" i="2"/>
  <c r="M111" i="2"/>
  <c r="K116" i="2"/>
  <c r="M119" i="2"/>
  <c r="L119" i="2"/>
  <c r="M121" i="2"/>
  <c r="L121" i="2"/>
  <c r="M129" i="2"/>
  <c r="L129" i="2"/>
  <c r="C132" i="2"/>
  <c r="M133" i="2"/>
  <c r="L133" i="2"/>
  <c r="L132" i="2" s="1"/>
  <c r="C136" i="2"/>
  <c r="L136" i="2" s="1"/>
  <c r="L137" i="2"/>
  <c r="M137" i="2"/>
  <c r="C138" i="2"/>
  <c r="L138" i="2" s="1"/>
  <c r="L139" i="2"/>
  <c r="M139" i="2"/>
  <c r="M143" i="2"/>
  <c r="L143" i="2"/>
  <c r="M145" i="2"/>
  <c r="L145" i="2"/>
  <c r="M147" i="2"/>
  <c r="L147" i="2"/>
  <c r="M149" i="2"/>
  <c r="L149" i="2"/>
  <c r="L151" i="2"/>
  <c r="M151" i="2"/>
  <c r="M112" i="2"/>
  <c r="L112" i="2"/>
  <c r="L110" i="2" s="1"/>
  <c r="L109" i="2" s="1"/>
  <c r="M118" i="2"/>
  <c r="L118" i="2"/>
  <c r="M120" i="2"/>
  <c r="L120" i="2"/>
  <c r="M122" i="2"/>
  <c r="L122" i="2"/>
  <c r="L128" i="2"/>
  <c r="M128" i="2"/>
  <c r="M138" i="2"/>
  <c r="K140" i="2"/>
  <c r="M144" i="2"/>
  <c r="L144" i="2"/>
  <c r="M146" i="2"/>
  <c r="L146" i="2"/>
  <c r="M148" i="2"/>
  <c r="L148" i="2"/>
  <c r="M150" i="2"/>
  <c r="L150" i="2"/>
  <c r="E109" i="2"/>
  <c r="D141" i="2"/>
  <c r="D140" i="2" s="1"/>
  <c r="C142" i="2"/>
  <c r="M142" i="2" s="1"/>
  <c r="C113" i="2"/>
  <c r="K109" i="2"/>
  <c r="C117" i="2"/>
  <c r="C127" i="2"/>
  <c r="C141" i="2"/>
  <c r="C110" i="2"/>
  <c r="M110" i="2" s="1"/>
  <c r="K79" i="2"/>
  <c r="M75" i="2"/>
  <c r="C9" i="2"/>
  <c r="K40" i="2"/>
  <c r="D14" i="3"/>
  <c r="E47" i="3"/>
  <c r="K14" i="3"/>
  <c r="M14" i="3" s="1"/>
  <c r="L25" i="3"/>
  <c r="L26" i="3"/>
  <c r="L27" i="3"/>
  <c r="L30" i="3"/>
  <c r="L28" i="3" s="1"/>
  <c r="M30" i="3"/>
  <c r="L36" i="3"/>
  <c r="L41" i="3"/>
  <c r="L38" i="3" s="1"/>
  <c r="C80" i="2"/>
  <c r="C10" i="2"/>
  <c r="M31" i="2"/>
  <c r="M42" i="2"/>
  <c r="L68" i="2"/>
  <c r="L78" i="2"/>
  <c r="L75" i="2" s="1"/>
  <c r="M76" i="2"/>
  <c r="M77" i="2"/>
  <c r="L23" i="3"/>
  <c r="M23" i="3"/>
  <c r="M34" i="3"/>
  <c r="K28" i="3"/>
  <c r="M28" i="3" s="1"/>
  <c r="E131" i="2"/>
  <c r="E130" i="2" s="1"/>
  <c r="M34" i="2"/>
  <c r="L74" i="2"/>
  <c r="M103" i="2"/>
  <c r="M82" i="2"/>
  <c r="K9" i="2"/>
  <c r="M10" i="2"/>
  <c r="D79" i="2"/>
  <c r="C79" i="2" s="1"/>
  <c r="D9" i="2"/>
  <c r="L34" i="3"/>
  <c r="K47" i="3"/>
  <c r="M47" i="3" s="1"/>
  <c r="M48" i="3"/>
  <c r="L48" i="3"/>
  <c r="M41" i="3"/>
  <c r="K38" i="3"/>
  <c r="M36" i="3"/>
  <c r="K21" i="3"/>
  <c r="M21" i="3" s="1"/>
  <c r="C41" i="3"/>
  <c r="C38" i="3" s="1"/>
  <c r="E8" i="3"/>
  <c r="D38" i="3"/>
  <c r="C39" i="3"/>
  <c r="K96" i="2"/>
  <c r="M96" i="2" s="1"/>
  <c r="K131" i="2"/>
  <c r="R8" i="2" l="1"/>
  <c r="S8" i="2" s="1"/>
  <c r="K8" i="2"/>
  <c r="L47" i="3"/>
  <c r="M9" i="2"/>
  <c r="P8" i="2"/>
  <c r="E160" i="2"/>
  <c r="E7" i="2"/>
  <c r="L117" i="2"/>
  <c r="L116" i="2" s="1"/>
  <c r="L115" i="2" s="1"/>
  <c r="L58" i="2"/>
  <c r="L131" i="2"/>
  <c r="L130" i="2" s="1"/>
  <c r="L40" i="2"/>
  <c r="L79" i="2"/>
  <c r="M107" i="2"/>
  <c r="M132" i="2"/>
  <c r="C131" i="2"/>
  <c r="M131" i="2" s="1"/>
  <c r="M136" i="2"/>
  <c r="C40" i="2"/>
  <c r="M40" i="2" s="1"/>
  <c r="M79" i="2"/>
  <c r="C140" i="2"/>
  <c r="L140" i="2" s="1"/>
  <c r="L141" i="2"/>
  <c r="M140" i="2"/>
  <c r="L142" i="2"/>
  <c r="M117" i="2"/>
  <c r="K130" i="2"/>
  <c r="M141" i="2"/>
  <c r="M127" i="2"/>
  <c r="K115" i="2"/>
  <c r="M116" i="2"/>
  <c r="M113" i="2"/>
  <c r="C109" i="2"/>
  <c r="M109" i="2" s="1"/>
  <c r="C116" i="2"/>
  <c r="C115" i="2" s="1"/>
  <c r="D8" i="2"/>
  <c r="M80" i="2"/>
  <c r="M38" i="3"/>
  <c r="E52" i="3"/>
  <c r="E7" i="3"/>
  <c r="D10" i="3"/>
  <c r="D9" i="3" s="1"/>
  <c r="D8" i="3" s="1"/>
  <c r="C14" i="3"/>
  <c r="C10" i="3" s="1"/>
  <c r="C9" i="3" s="1"/>
  <c r="C8" i="3" s="1"/>
  <c r="L21" i="3"/>
  <c r="K10" i="3"/>
  <c r="C52" i="3"/>
  <c r="K160" i="2" l="1"/>
  <c r="M160" i="2" s="1"/>
  <c r="P11" i="2"/>
  <c r="Q11" i="2" s="1"/>
  <c r="P14" i="2"/>
  <c r="K7" i="2"/>
  <c r="M7" i="2" s="1"/>
  <c r="Q14" i="2"/>
  <c r="Q8" i="2"/>
  <c r="L8" i="2"/>
  <c r="K9" i="3"/>
  <c r="K8" i="3" s="1"/>
  <c r="M8" i="3" s="1"/>
  <c r="M10" i="3"/>
  <c r="C130" i="2"/>
  <c r="M115" i="2"/>
  <c r="M130" i="2"/>
  <c r="C8" i="2"/>
  <c r="M8" i="2" s="1"/>
  <c r="C7" i="2"/>
  <c r="D7" i="3"/>
  <c r="C7" i="3" s="1"/>
  <c r="D52" i="3"/>
  <c r="L14" i="3"/>
  <c r="L10" i="3" s="1"/>
  <c r="L9" i="3" s="1"/>
  <c r="L8" i="3" s="1"/>
  <c r="L7" i="2" l="1"/>
  <c r="L160" i="2"/>
  <c r="K52" i="3"/>
  <c r="L52" i="3" s="1"/>
  <c r="K7" i="3"/>
  <c r="M7" i="3" s="1"/>
  <c r="M52" i="3"/>
  <c r="L7" i="3" l="1"/>
  <c r="J7" i="7"/>
  <c r="J14" i="7"/>
</calcChain>
</file>

<file path=xl/sharedStrings.xml><?xml version="1.0" encoding="utf-8"?>
<sst xmlns="http://schemas.openxmlformats.org/spreadsheetml/2006/main" count="968" uniqueCount="455">
  <si>
    <t>หน่วยงานรับผิดชอบ</t>
  </si>
  <si>
    <t>โครงการงบพัฒนาจังหวัดแบบบูรณาการจังหวัดอ่างทอง</t>
  </si>
  <si>
    <t>ประเด็นยุทธศาสตร์ที่ 1 : พัฒนาเมืองน่าอยู่ สู่สังคมเป็นสุข</t>
  </si>
  <si>
    <t>อำเภอเมืองอ่างทอง</t>
  </si>
  <si>
    <t>อำเภอวิเศษชัยชาญ</t>
  </si>
  <si>
    <t>อำเภอโพธิ์ทอง</t>
  </si>
  <si>
    <t>ก่อสร้างถนนคอนกรีตเสริมเหล็ก บริเวณถนนทางเข้าวัดสระแก้ว หมู่ที่ 6 ตำบลบางเสด็จ อำเภอป่าโมก  จังหวัดอ่างทอง</t>
  </si>
  <si>
    <t xml:space="preserve">อำเภอป่าโมก </t>
  </si>
  <si>
    <t>ก่อสร้างถนนคอนกรีตเสริมเหล็กปูทับด้วยแอสฟัสท์ติกคอนกรีต (สายที่ 1) ตำบลเอกราช อำเภอป่าโมก จังหวัดอ่างทอง</t>
  </si>
  <si>
    <t>อำเภอแสวงหา</t>
  </si>
  <si>
    <t>อำเภอสามโก้</t>
  </si>
  <si>
    <t>ก่อสร้างสะพานคอนกรีตเสริมเหล็ก หมู่ที่ 2 ตำบลยางช้าย อำเภอโพธิ์ทอง จังหวัดอ่างทอง</t>
  </si>
  <si>
    <t>สำนักงานเกษตรและสหกรณ์</t>
  </si>
  <si>
    <t xml:space="preserve"> ส่งเสริมหมู่บ้าน OTOP เป็นแหล่งท่องเที่ยวเชิงวัฒนธรรม</t>
  </si>
  <si>
    <t xml:space="preserve">สำนักงานพัฒนาชุมชน </t>
  </si>
  <si>
    <t>พัฒนาศูนย์เรียนรู้หมู่บ้านเศรษฐกิจพอเพียงต้นแบบ</t>
  </si>
  <si>
    <t>สำนักงานพัฒนาชุมชน</t>
  </si>
  <si>
    <t>ส่งเสริมวิถีชุมชนเป็นแหล่งท่องเที่ยวเชิงเศรษฐกิจพอเพียงและวัฒนธรรม</t>
  </si>
  <si>
    <t>ส่งเสริมความเข้มแข็งชุมชนด้วยหลักปรัชญาเศรษฐกิจพอเพียง</t>
  </si>
  <si>
    <t>ส่งเสริมการใช้ปุ๋ยเพื่อลดต้นทุนการผลิต</t>
  </si>
  <si>
    <t>สำนักงานสหกรณ์</t>
  </si>
  <si>
    <t>ส่งเสริมการเลี้ยงปลาหมอไทย</t>
  </si>
  <si>
    <t>ส่งเสริมการปลูกไผ่หวาน</t>
  </si>
  <si>
    <t>พัฒนาศักยภาพคณะกรรมการหมู่บ้าน(กม.)ในการสร้างความปรองดองสมานฉันท์</t>
  </si>
  <si>
    <t>ที่ทำการปกครอง</t>
  </si>
  <si>
    <t>ศอ.ปส.จ.อท.</t>
  </si>
  <si>
    <t>รณรงค์ประชาสัมพันธ์ผ่านช่องทางต่าง ๆ เพื่อกระตุ้นจิตสำนึก เสริมสร้างพลังทางสังคม</t>
  </si>
  <si>
    <t>ค่ายปรับเปลี่ยนพฤติกรรม</t>
  </si>
  <si>
    <t xml:space="preserve">No place for drug </t>
  </si>
  <si>
    <t>ตำรวจภูธรจังหวัด</t>
  </si>
  <si>
    <t>ปรับปรุงหนองพนมพร้อมเสริมคันดินและอาคารประกอบ ตำบลเทวราช อำเภอไชโย จังหวัดอ่างทอง</t>
  </si>
  <si>
    <t>โครงการชลประทานอ่างทอง</t>
  </si>
  <si>
    <t>ปรับปรุงบึงศาลาอ้อ ตำบลสาวร้องไห้ อำเภอวิเศษชัยชาญ จังหวัดอ่างทอง</t>
  </si>
  <si>
    <t>ขุดลอกคลองลำท่าแดง หมู่ที่ 2,4 ตำบลย่านซื่อ อำเภอเมืองอ่างทอง จังหวัดอ่างทอง</t>
  </si>
  <si>
    <t>ปรับปรุงฟื้นฟูคลองระบายน้ำ หมู่ที่ 1 - 6 ตำบลรำมะสัก อำเภอโพธิ์ทอง จังหวัดอ่างทอง</t>
  </si>
  <si>
    <t>ขุดลอกหนองขโมยพร้อมประตูปิดเปิดระบายน้ำหนองขโมย  หมู่ที่ 4 ตำบลบางเสด็จ อำเภอป่าโมก จังหวัดอ่างทอง</t>
  </si>
  <si>
    <t>สำนักงานโยธาธิการฯ</t>
  </si>
  <si>
    <t>สำนักงานคลัง</t>
  </si>
  <si>
    <t>อำเภอไชโย</t>
  </si>
  <si>
    <t>ปรับปรุงสภาพแวดล้อมของชุมชน โครงการพัฒนาพื้นที่แก้มลิงหนองเจ็ดเส้นอันเนื่องมากจากพระราชดำริ</t>
  </si>
  <si>
    <t>สำนักงานทรัพยากร
ธรรมชาติและสิ่งแวดล้อม</t>
  </si>
  <si>
    <t>ประเด็นยุทธศาสตร์ที่ 2 : พัฒนาศักยภาพ การผลิต บริโภค และจำหน่ายอาหารปลอดภัย</t>
  </si>
  <si>
    <t xml:space="preserve">ส่งเสริมการผลิตผักปลอดภัยในโรงเรือนระบบปิด  </t>
  </si>
  <si>
    <t>ส่งเสริมการผลิตไม้ผลที่มีคุณภาพปลอดภัยได้มาตรฐานเพื่อการส่งออก (มะม่วง กล้วยหอมทอง)</t>
  </si>
  <si>
    <t>สำนักงานเกษตร</t>
  </si>
  <si>
    <t>ส่งเสริมการผลิตอาหารปลอดภัย "โรงเรียนเกษตรกรทำนา"</t>
  </si>
  <si>
    <t xml:space="preserve">ยกระดับการเลี้ยงแพะให้ได้มาตรฐาน </t>
  </si>
  <si>
    <t>สำนักงานปศุสัตว์</t>
  </si>
  <si>
    <t xml:space="preserve">พัฒนาการผลิต แปรรูปผลิตภัณฑ์นกกระทาอ่างทอง </t>
  </si>
  <si>
    <t>พัฒนาตลาดกลางจำหน่ายสัตว์น้ำสู่มาตรฐาน ประจำจังหวัดอ่างทอง</t>
  </si>
  <si>
    <t>สำนักงานประมง</t>
  </si>
  <si>
    <t>การส่งเสริมการจำหน่ายอาหารปลอดภัยและผลิตภัณฑ์จังหวัดอ่างทอง</t>
  </si>
  <si>
    <t>สำนักงานพาณิชย์</t>
  </si>
  <si>
    <t>ประเด็นยุทธศาสตร์ที่ 3 : ยกระดับมาตรฐานผลิตภัณฑ์สู่ตลาดโลก</t>
  </si>
  <si>
    <t>จัดแสดงและจำหน่ายผลิตภัณฑ์ OTOP</t>
  </si>
  <si>
    <t xml:space="preserve">โครงการพัฒนาการท่องเที่ยวเพื่อคนทั้งมวล จังหวัดอ่างทอง </t>
  </si>
  <si>
    <t>การเชื่อมโยงตลาดและเจรจาธุรกิจในประเทศเศรษฐกิจอาเซียน (AEC)</t>
  </si>
  <si>
    <t>ประเด็นยุทธศาสตร์ที่ 4 : ส่งเสริมการท่องเที่ยวเชิงวัฒนธรรม ถิ่นวีรชน และการเกษตร</t>
  </si>
  <si>
    <t>งานรำลึกสมเด็จพระพุฒาจารย์  (โต พรหมรังสี)</t>
  </si>
  <si>
    <t>สำนักงานการท่องเที่ยวและกีฬา</t>
  </si>
  <si>
    <t xml:space="preserve">งานรำลึกสมเด็จพระนเรศวรมหาราช  </t>
  </si>
  <si>
    <t xml:space="preserve"> - สำนักงานการท่องเที่ยวและกีฬา
 - อำเภอป่าโมก                </t>
  </si>
  <si>
    <t xml:space="preserve">งานรำลึกวีรชนแขวงเมืองวิเศษชัยชาญ </t>
  </si>
  <si>
    <t xml:space="preserve">งานสดุดีวีรชนคนแสวงหา </t>
  </si>
  <si>
    <t xml:space="preserve">งานสดุดีวีรชนพันท้ายนรสิงห์ </t>
  </si>
  <si>
    <t>งานเทศกาลกินผัดไทย ไหว้พระสมเด็จเกษไชโย</t>
  </si>
  <si>
    <t xml:space="preserve">งานมหกรรมกินกุ้งใหญ่ กินไข่นกกระทา กินผักปลาปลอดสารพิษ  </t>
  </si>
  <si>
    <t xml:space="preserve"> - สำนักงานการท่องเที่ยวและกีฬา
 - สำนักงานประมง
 - สำนักงานเกษตร</t>
  </si>
  <si>
    <t xml:space="preserve">งานแข่งขันเรือพาย </t>
  </si>
  <si>
    <t xml:space="preserve"> - สำนักงานการท่องเที่ยวและกีฬา
 - อำเภอป่าโมก 
 - อำเภอสามโก้</t>
  </si>
  <si>
    <t xml:space="preserve">งานเกษตรและของดีเมืองอ่างทอง </t>
  </si>
  <si>
    <t xml:space="preserve"> - สำนักงานเกษตรและสหกรณ์
 - สำนักงานการท่องเที่ยวและกีฬา</t>
  </si>
  <si>
    <t>ค่าใช้จ่ายในการบริหารจัดการยุทธศาสตร์ของผู้ว่าราชการจังหวัด</t>
  </si>
  <si>
    <t>ผู้รับจ้าง</t>
  </si>
  <si>
    <t>ผลการเบิกจ่าย(บาท)</t>
  </si>
  <si>
    <t>คงเหลือ</t>
  </si>
  <si>
    <t>ร้อยละ</t>
  </si>
  <si>
    <t xml:space="preserve">ประจำปีงบประมาณ พ.ศ. 2560 จังหวัดอ่างทอง </t>
  </si>
  <si>
    <t>ที่</t>
  </si>
  <si>
    <t>โครงการ/กิจกรรม</t>
  </si>
  <si>
    <t>งบประมาณ(บาท)</t>
  </si>
  <si>
    <t>หน่วยงานที่รับผิดชอบ</t>
  </si>
  <si>
    <t>งบลงทุน</t>
  </si>
  <si>
    <t>งบดำเนินงาน</t>
  </si>
  <si>
    <t>วงเงินสัญญาจ้าง</t>
  </si>
  <si>
    <t>ประเด็นยุทธศาสตร์ที่ 1 ยกระดับกระบวนการผลิตการตลาดและระบบ Logistics อาหารปลอดภัย</t>
  </si>
  <si>
    <t>โครงการยกระดับกระบวนการผลิต แปรรูป และการตลาดสินค้าอาหารปลอดภัย</t>
  </si>
  <si>
    <t>กิจกรรมที่ 1.1 ยกระดับกระบวนการผลิตเข้าสู่มาตรฐาน</t>
  </si>
  <si>
    <t>1.1.1 ส่งเสริมการผลิตด้านพืช  สู่มาตรฐาน GAP</t>
  </si>
  <si>
    <t xml:space="preserve">      1.1.1.1 อบรมถ่ายทอดความรู้การลดต้นทุนการผลิตภายใต้โครงการแปลงใหญ่ฯ จำนวน 50 ราย</t>
  </si>
  <si>
    <t xml:space="preserve">      1.1.1.2 การตรวจรับรองมาตรฐานแหล่งผลิตตามมาตรฐาน GAP (ข้าว)</t>
  </si>
  <si>
    <t>1.1.2 พัฒนาและส่งเสริมการแปรรูปสัตว์น้ำสู่มาตรฐานอาหารปลอดภัย</t>
  </si>
  <si>
    <t>1.1.3 ส่งเสริมการผลิตด้านปศุสัตว์สู่มาตรฐานฟาร์ม</t>
  </si>
  <si>
    <t xml:space="preserve">1.1.4 การใช้เทคโนโลยีการพัฒนาที่ดิน เพื่อเพิ่มประสิทธิภาพการผลิตพืช </t>
  </si>
  <si>
    <t>กิจกรรมที่ 1.2 ส่งเสริมการแปรรูปและพัฒนาบรรจุภัณฑ์</t>
  </si>
  <si>
    <t>กิจกรรมที่ 1.3 เสริมสร้างขีดความสามารถของสถาบันเกษตร ผู้ประกอบการและเกษตรกร</t>
  </si>
  <si>
    <t>กิจกรรมที่ 1.4 ส่งเสริมและรับรองแหล่งจำหน่ายสินค้าเกษตรปลอดภัยมาตรฐาน Q</t>
  </si>
  <si>
    <t>กิจกรรมที่ 1.5 ส่งเสริมการตลาด</t>
  </si>
  <si>
    <t>กิจกรรมที่ 1.6 บริหารจัดการโครงการ</t>
  </si>
  <si>
    <t xml:space="preserve"> โครงการส่งเสริมสนับสนุนเทคโนโลยีการผลิตพลังงานทดแทนเพื่อลดต้นทุนการผลิต</t>
  </si>
  <si>
    <t>กิจกรรมที่ 3.1 สนับสนุนเทคโนโลยีสูบน้ำพลังงานแสงอาทิตย์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</si>
  <si>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</si>
  <si>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โครงการพัฒนายกระดับคุณภาพแหล่งท่องเที่ยวทางประวัติศาสตร์ศาสนาวัฒนธรรม ธรรมชาติและวิถีชีวิตลุ่มน้ำ</t>
  </si>
  <si>
    <t>โครงการส่งเสริมกิจกรรมสร้างแรงดึงดูดนักท่องเที่ยวกลุ่มจังหวัด</t>
  </si>
  <si>
    <t>กิจกรรมที่ 5.1 มนต์เสน่ห์เรื่องเล่าวิถีชีวิตชุมชน</t>
  </si>
  <si>
    <t>5.1.1 งานมหกรรมลิเก</t>
  </si>
  <si>
    <t>5.1.2 งานมหกรรมกลองนานาชาติ</t>
  </si>
  <si>
    <t>5.1.3 งานเทศกาลไหว้พระนอนวัดขุนอินทประมูล</t>
  </si>
  <si>
    <t xml:space="preserve">5.1.4 กิจกรรมส่งเสริมการท่องเที่ยวชุมชน มนต์เสน่ห์วิถีไทย </t>
  </si>
  <si>
    <t>ประเด็นยุทธศาสตร์ที่ 3 บริหารจัดการน้ำแบบบูรณาการ</t>
  </si>
  <si>
    <t>โครงการจัดหาและพัฒนาแหล่งน้ำเพื่อรองรับการบริหารจัดการน้ำอย่างเป็นระบบ</t>
  </si>
  <si>
    <t>กิจกรรมที่ 6.1 ปรับปรุงคลองขนากพร้อมอาคารป้องกันการกัดเซาะ ตำบลบางจัก อำเภอวิเศษชัยชาญ จังหวัดอ่างทอง</t>
  </si>
  <si>
    <t>โครงการป้องกันแก้ไขปัญหาคุณภาพน้ำในแม่น้ำสายหลัก</t>
  </si>
  <si>
    <t>กิจกรรมที่ 7.1 เครือข่ายประชาชนเฝ้าระวังคุณภาพน้ำ</t>
  </si>
  <si>
    <t>รวม</t>
  </si>
  <si>
    <t>ก่อสร้างถนนคอนกรีตเสริมเหล็ก หมู่ที่ 10 ตำบลสีบัวทอง เชื่อมต่อหมู่ที่ 7 ตำบลแสวงหา อำเภอแสวงหา จังหวัดอ่างทอง</t>
  </si>
  <si>
    <t>งบประมาณ 93,692,000 บาท (เก้าสิบสามล้านหกแสนเก้าหมื่นสองพันบาทถ้วน)</t>
  </si>
  <si>
    <t>โครงการเพิ่มประสิทธิภาพระบบบริหารจัดการสินค้าและการขนส่งของกลุ่มจังหวัด Logistics</t>
  </si>
  <si>
    <t>สนง.เกษตรจังหวัด</t>
  </si>
  <si>
    <t>สนง.ประมงจังหวัด</t>
  </si>
  <si>
    <t>สนง.ปศุสัตว์จังหวัด</t>
  </si>
  <si>
    <t>สนง.เกษตรและสหกรณ์</t>
  </si>
  <si>
    <t>สนง.พาณิชย์จังหวัด</t>
  </si>
  <si>
    <t>แขวงทางหลวงชนบท</t>
  </si>
  <si>
    <t>สนง.พลังงานจังหวัด</t>
  </si>
  <si>
    <t>สนง.การท่องเที่ยวและกีฬาจังหวัด</t>
  </si>
  <si>
    <t>ดำเนินกิจกรรม To be number one ในอำเภอ</t>
  </si>
  <si>
    <t>ดำเนินกิจกรรม To be number one ในสถานประกอบการ</t>
  </si>
  <si>
    <t>ดำเนินกิจกรรม To be number one ในเรือนจำ</t>
  </si>
  <si>
    <t>ดำเนินกิจกรรม To be number one ในสำนักงานคุมประพฤติ</t>
  </si>
  <si>
    <t>ดำเนินกิจกรรม To be number one ในวิทยาลัยนาฏศิลป์</t>
  </si>
  <si>
    <t>ดำเนินจัดประกวดแข่งขัน To be number one ในจังหวัด</t>
  </si>
  <si>
    <t>คลองสวยน้ำใส บริเวณคลองโพธิ์ หมู่ที่ 3 ตำบลโพสะ อำเภอเมือง จังหวัดอ่างทอง</t>
  </si>
  <si>
    <t xml:space="preserve">      1.1.2.1 ตู้อบพลังความร้อน (ระบบแก๊สพร้อมอุปกรณ์)</t>
  </si>
  <si>
    <t xml:space="preserve">      1.1.2.2 ตู้แช่แข็ง ขนาด 9.5 คิว </t>
  </si>
  <si>
    <t xml:space="preserve">      1.1.2.3 เครื่องบรรจุภัณฑ์สุญญากาศแบบมาตรฐาน </t>
  </si>
  <si>
    <t xml:space="preserve">      1.1.2.4 เครื่องบดและผสมอาหารระบบไฟฟ้า อัตโนมัติ </t>
  </si>
  <si>
    <t xml:space="preserve">      งบดำเนินงาน</t>
  </si>
  <si>
    <t xml:space="preserve">      1.1.3.1 เครื่องสับหญ้า </t>
  </si>
  <si>
    <t xml:space="preserve">      ครุภัณฑ์</t>
  </si>
  <si>
    <t>สนง.เกษตรและสหกรณ์จังหวัด</t>
  </si>
  <si>
    <t xml:space="preserve">     1.4.1 ตู้แช่เนื้อสัตว์</t>
  </si>
  <si>
    <t>บัญชีโครงการงบประมาณตามแผนปฏิบัติราชการกลุ่มจังหวัดภาคกลางตอนบน 2</t>
  </si>
  <si>
    <t>กลุ่มจังหวัด</t>
  </si>
  <si>
    <t>สนง.พัฒนาชุมชนจังหวัด</t>
  </si>
  <si>
    <t>สนง.ทรัพยากรธรรมชาติและสิ่งแวดล้อมจังหวัด</t>
  </si>
  <si>
    <t>1.การจัดประชุมหารือเพื่อจัดทำแผนการพัฒนาจังหวัดและกลุ่มจังหวัดกับภาคส่วนต่างๆ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พ.ศ.2534 และที่แก้ไขเพิ่มเติม</t>
  </si>
  <si>
    <t>1.1 กิจกรรมบริหารจัดการแผนพัฒนาจังหวัดอ่างทอง ประจำปีงบประมาณ พ.ศ. 2560</t>
  </si>
  <si>
    <t>1) ดำเนินการทบทวนแผนพัฒนาจังหวัดอ่างทอง (4ปี) พ.ศ.2561-2564</t>
  </si>
  <si>
    <t>2) ดำเนินการจัดทำแผนปฏิบัติราชการประจำปีของจังหวัดอ่างทอง ปี 2561 และปี 2562</t>
  </si>
  <si>
    <t>3) ดำเนินการตามตัวชี้วัดคำรับรองปฏิบัติราชการ</t>
  </si>
  <si>
    <t>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</si>
  <si>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5) ค่าอาหารปฏิบัติงานล่วงเวลา</t>
  </si>
  <si>
    <t>2. การจัดประชุมก.บ.จ. หรือ ก.บ.ก. หรือ ก.ร.อ.จังหวัด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</si>
  <si>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 (ก.ร.อ.จังหวัด) ประจำปีงบประมาณ พ.ศ.2560</t>
  </si>
  <si>
    <t>1) ค่าเบี้ยประชุมคณะกรรมการ ก.บ.จ. อ่างทอง</t>
  </si>
  <si>
    <t>2) ค่าอาหารว่างและเครื่องดื่ม</t>
  </si>
  <si>
    <t>3) ค่าจ้างเหมาจัดทำเอกสาร</t>
  </si>
  <si>
    <t>4) ค่าเดินทางไปราชการ</t>
  </si>
  <si>
    <t>3. การจัดการศึกษาเพื่อพัฒนายุทธศาสตร์จังหวัด/กลุ่มจังหวัด</t>
  </si>
  <si>
    <t>3.1 กิจกรรมดำเนินการขับเคลื่อนยุทธศาสตร์การพัฒนาจังหวัดอ่างทอง (อ่างทองครัวกรุงเทพ อ่างทองที่สุดอัศจรรย์)</t>
  </si>
  <si>
    <t>4. การพัฒนาประสิทธิภาพในการบริหารจัดการ</t>
  </si>
  <si>
    <t>4.1 กิจกรรมอำนวยการบริหารงานจังหวัดแบบบูรณาการจังหวัดอ่างทอง ประจำปีงบประมาณ พ.ศ.2560</t>
  </si>
  <si>
    <t>2) ค่าวัสดุสำนักงาน 12*30,000 บาท</t>
  </si>
  <si>
    <t>3) ค่าเดินทางไปราชการ</t>
  </si>
  <si>
    <t>4) ค่าซ่อมแซมครุภัณฑ์สำนักงาน</t>
  </si>
  <si>
    <t>5) ค่าซ่อมแซมรถยนต์</t>
  </si>
  <si>
    <t>7) ค่าเช่าเครื่องถ่างเอกสาร 1 เครื่องๆ ละ 12 เดือนๆ ละ 1,3000 บาท</t>
  </si>
  <si>
    <t>8) ค่าอาหารปฏิบัติงานล่วงเวลา</t>
  </si>
  <si>
    <t>4.2 กิจกรรมจัดหาบุคลากรเพื่อสนับสนุนการบริหารจัดการตามยุทธศาสตร์การพัฒนาจังหวัดอ่างทอง ประจำปีงบประมาณ พ.ศ.2560 (7 คน)</t>
  </si>
  <si>
    <t>2) วุฒิปริญญาตรีช่วยงานการเงินงบจังหวัดกลุ่มจังหวัด (ประสบการณ์มากกว่า 1 ปี) 1 คนๆ ละ 12 เดือนๆ ละ 14,000 บาท</t>
  </si>
  <si>
    <t>1) วุฒิปริญญาตรีช่วยงานการเงินงบประจำปี (ประสบการณ์มากกว่า 2 ปี) 1 คนๆ ละ 12 เดือนๆ ละ 1,5000 บาท</t>
  </si>
  <si>
    <t>3) วุฒิปริญญาตรีช่วยงานระบบเอกสารอิเลคทรอนิกส์และบริหารงานทั่วไป (ประสบการณ์มากกว่า 2 ปี) 1 คนๆ ละ 12 เดือนๆ ละ 15,000 บาท</t>
  </si>
  <si>
    <t>4) วุฒิปริญญาตรีช่วยงานยุทธศาสตร์ (ประสบการณ์มากกว่า 1 ปี) 1 คนๆ ละ 12 เดือนๆ ละ 14,000 บาท</t>
  </si>
  <si>
    <t>5) วุฒิ ปวส. ช่วยงานธุรการทั่วไป 1 คนๆ ละ 12 เดือนๆ ละ 11,000 บาท</t>
  </si>
  <si>
    <t>6) วุฒิ ปวส. ขับรถยนต์ 2 คนๆ ละ 12 เดือนๆ ละ 11,500 บาท</t>
  </si>
  <si>
    <t>4.3 กิจกรรมพัฒนาระบบข้อมูลสารสนเทศและการสื่อสารเพื่อการบริหารจัดการยุทธศาสตร์การพัฒนาจังหวัด</t>
  </si>
  <si>
    <t>1) การประชุมคณะกรรมการและพัฒนาระบบสารสนเทศและการสื่อสารของจังหวัด</t>
  </si>
  <si>
    <t>2) ดำเนินงานหน่วยงานต้นแบบศูนย์ข้อมูลข่าวสาร ตาม พรบ. ข้อมูลข่าวสาร พ.ศ.2542</t>
  </si>
  <si>
    <t>4.4 กิจกรรมของส่วนราชการที่ได้รับอนุมัติจากผู้ว่าราชการจังหวัดอ่างทอง</t>
  </si>
  <si>
    <t>5. 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</si>
  <si>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5.1 กิจกรรมดำเนินการประชาสัมพันธ์ยุทธศาสตร์การพัฒนาจังหวัด</t>
  </si>
  <si>
    <t>5.2 กิจกรรมของส่วนราชการที่ได้รับอนุมัติจากผู้ว่าราชการจังหวัด</t>
  </si>
  <si>
    <t>6. การติดตามประเมินผล</t>
  </si>
  <si>
    <t>6.1 กิจกรรมค่าใช้จ่ายในการติดตามประเมินผลการดำเนินงานตามแผนพัฒนาจังหวัดอ่างทอง</t>
  </si>
  <si>
    <t>1) ค่าน้ำมันเชื้อเพลิง ผวจ. 12*10,000 บาท                   รอง ผวจ. 2*12*7,000 บาท สนจ. 12*7,000 บาท</t>
  </si>
  <si>
    <t>1) ค่าน้ำมันเชื้อเพลิง ผวจ. 12*10,000 บาท                   รอง ผวจ. 2*12*8,000 บาท สนจ. 12*8,000 บาท</t>
  </si>
  <si>
    <t>2) ค่าวัสดุสำนักงาน 12*5,000 บาท</t>
  </si>
  <si>
    <t>6) ค่าวิทยากร ค่าอาหารจัดประชุม ค่าจ้างเหมาจัดทำเอกสาร และงานอำนวยการติดตามยุทธศาสตร์ของจังหวัด</t>
  </si>
  <si>
    <t>7) ค่าเช่าเครื่องถ่ายเอกสาร 1 เครื่องๆ ละ 12 เดือนๆ ละ 13,000 บาท</t>
  </si>
  <si>
    <t>5.2.1 โครงการเพิ่มศักยภาพงานประชาสัมพันธ์จังหวัดอ่างทอง ประจำปีงบประมาณ พ.ศ.2560</t>
  </si>
  <si>
    <t>4.4.1 โครงการสานใจไทยสู่ใจใต้ รุ่น 29</t>
  </si>
  <si>
    <t>วงเงินในสัญญาจ้าง</t>
  </si>
  <si>
    <t>ผลการดำเนินงาน</t>
  </si>
  <si>
    <t>จำนวน(บาท)</t>
  </si>
  <si>
    <t>สัญญาเริ่มต้น-สิ้นสุด</t>
  </si>
  <si>
    <t>งบประมาณ (บาท)</t>
  </si>
  <si>
    <t>สถานะโครงการ</t>
  </si>
  <si>
    <t xml:space="preserve">อนุมัติโครงการ
</t>
  </si>
  <si>
    <t>เสนอโครงการ</t>
  </si>
  <si>
    <t>สำนักงานจังหวัด</t>
  </si>
  <si>
    <t>ผลการดำเนินงานโครงการพัฒนาจังหวัดแบบบูรณาการ ประจำปีงบประมาณ พ.ศ. 2560</t>
  </si>
  <si>
    <t>บริษัท เพ็ชรอินทร์ก่อสร้าง</t>
  </si>
  <si>
    <t>หจก.ภัสสรชัยมงคล</t>
  </si>
  <si>
    <t>สำนักงานวัฒนธรรมจังหวัด</t>
  </si>
  <si>
    <t>1 โครงการพัฒนาโครงสร้างพื้นฐานของประชาชน</t>
  </si>
  <si>
    <t>1.1 ก่อสร้างปรับปรุงเส้นทางเชื่อมโยงระหว่างหมู่บ้านและตำบล</t>
  </si>
  <si>
    <t>1.2 ก่อสร้างระบบประปาหมู่บ้าน</t>
  </si>
  <si>
    <t>1.3 ก่อสร้างปรับปรุงสะพานเชื่อมโยงเส้นทางระหว่างหมู่บ้านและตำบล</t>
  </si>
  <si>
    <t>2 โครงการส่งเสริมอาชีพสร้างโอกาสสร้างรายได้ของประชาชน</t>
  </si>
  <si>
    <t>2.1 สนองการดำเนินงานโครงการพระราชดำริในพื้นที่</t>
  </si>
  <si>
    <t>2.2 ส่งเสริมการดำเนินงานตามแนวปรัชญาเศรษฐกิจพอเพียง</t>
  </si>
  <si>
    <t>2.3 ส่งเสริมอาชีพสร้างความเข้มแข็งให้กลุ่มสหกรณ์</t>
  </si>
  <si>
    <t>3 โครงการเสริมสร้างความมั่นคงและความปลอดภัยในชีวิตและทรัพย์สิน</t>
  </si>
  <si>
    <t>3.1 รักษาความมั่นคงภายใน</t>
  </si>
  <si>
    <t>3.2 ป้องกันและแก้ไขปัญหายาเสพติด</t>
  </si>
  <si>
    <t>4 โครงการบริหารจัดการน้ำแบบบูรณาการ</t>
  </si>
  <si>
    <t>4.1 พัฒนาปรับปรุงแหล่งน้ำ</t>
  </si>
  <si>
    <t>4.2 ป้องกันภัยพิบัติจากน้ำ</t>
  </si>
  <si>
    <t>5 โครงการส่งเสริมการบริหารการจัดการที่ดีแบบบูรณาการและป้องกันและปราบปรามการทุจริต</t>
  </si>
  <si>
    <t>5.1 พัฒนาประสิทธิภาพบุคลากรภาครัฐ</t>
  </si>
  <si>
    <t>6 โครงการปรับปรุงสภาพแวดล้อมของชุมชน</t>
  </si>
  <si>
    <t>6.1 รณรงค์การสร้างบ้านเรือนและชุมชนที่น่าอยู่</t>
  </si>
  <si>
    <t>6.2 รณรงค์คลองสวยน้ำใส</t>
  </si>
  <si>
    <t>7. โครงการส่งเสริมการผลิตอาหารปลอดภัย</t>
  </si>
  <si>
    <t>7.1 ยกระดับกระบวนการผลิตเข้าสู่มาตรฐาน</t>
  </si>
  <si>
    <t>7.2 ส่งเสริมการจำหน่ายสินค้าเกษตรให้ได้มาตรฐาน</t>
  </si>
  <si>
    <t>8.1 พัฒนาขีดความสามารถในการแข่งขันเพื่อการส่งออก</t>
  </si>
  <si>
    <t>8. การยกระดับผลิตภัณฑ์ตามมาตรฐานการส่งออก</t>
  </si>
  <si>
    <t>8.2 ยกระดับผลิตภัณฑ์ตามมาตรฐานการส่งออก</t>
  </si>
  <si>
    <t>8.3 โครงการส่งเสริมการตลาดเพื่อการส่งออก</t>
  </si>
  <si>
    <t>9. ส่งเสริมการท่องเที่ยวเชิงวัฒนธรรม ถิ่นวีรชน และการเกษตร</t>
  </si>
  <si>
    <t>9.1 โครงการส่งเสริมกิจกรรมการท่องเที่ยวสานสัมพันธ์ วัฒนธรรมประเพณี</t>
  </si>
  <si>
    <t>ก่อสร้างถนนคอนกรีตเสริมเหล็ก หมู่ที่ 1 ตำบลโพสะ อำเภอเมือง            เชื่อมต่อหมู่ 7 ตำบลสายทอง อำเภอป่าโมก จังหวัดอ่างทอง</t>
  </si>
  <si>
    <t>ก่อสร้างถนนคอนกรีตเสริมเหล็ก ท่อระบายน้ำ พร้อมท่อพัก และรางวี ถนนสายเอี่ยมประชา อำเภอเมืองอ่างทอง จังหวัดอ่างทอง</t>
  </si>
  <si>
    <t>ก่อสร้างถนนคอนกรีตเสริมเหล็ก (เส้นทางคันคลองชลประทาน)             หมู่ที่ 2,3,6 บ้านเมืองใหม่ ตำบลคลองขนาก  เชื่อมต่อหมู่ที่ 5              ตำบลบางจัก อำเภอวิเศษชัยชาญ  จังหวัดอ่างทอง</t>
  </si>
  <si>
    <t>ก่อสร้างถนนคอนกรีตเสริมเหล็ก หมู่ที่ 11 ตำบลม่วงเตี้ย                      อำเภอวิเศษชัยชาญ เชื่อมต่อหมู่ที่ 1 ตำบลราษฎรพัฒนา อำเภอสามโก้ จังหวัดอ่างทอง</t>
  </si>
  <si>
    <t>ก่อสร้างถนนคอนกรีตเสริมเหล็ก หมู่ที่ 3 ตำบลรำมะสัก อำเภอโพธิ์ทอง เชื่อมต่อหมู่ที่ 2 ตำบลวังน้ำเย็น อำเภอแสวงหา จังหวัดอ่างทอง</t>
  </si>
  <si>
    <t>ก่อสร้างถนนคอนกรีตเสริมเหล็ก หมู่ที่ 12 ตำบลรำมะสัก อำเภอโพธิ์ทอง จังหวัดอ่างทอง เชื่อมต่อหมู่ที่ 5 ตำบลปลายนา อำเภอศรีประจันต์ จังหวัดสุพรรณบุรี</t>
  </si>
  <si>
    <t>ก่อสร้างถนนคอนกรีตเสริมเหล็ก หมู่ที่ 6 (ทางเข้าหนองเจ็ดเส้น)            ตำบลสายทอง  อำเภอป่าโมก  จังหวัดอ่างทอง</t>
  </si>
  <si>
    <t>ก่อสร้างถนนคอนกรีตเสริมเหล็ก(ลาดยางแอสฟัลท์ติกทับหน้า)หมู่ที่ 6 (เส้นกลางหมู่บ้าน) ตำบลนรสิงห์ เชื่อมต่อกับหมู่ที่ 1 ตำบลเอกราช         อำเภอป่าโมก จังหวัดอ่างทอง</t>
  </si>
  <si>
    <t>ก่อสร้างถนน คอนกรีตเสริมเหล็กปูทับด้วยแอสฟัสท์ติกคอนกรีต              ถนนริมคลองชลประทาน หมู่ที่ ๑-๒ ถึงบริเวณห้าแยกนรสิงห์-ลาดเค้า  ตำบลเอกราช  อำเภอป่าโมก  จังหวัดอ่างทอง</t>
  </si>
  <si>
    <t>ก่อสร้างถนน คอนกรีตเสริมเหล็กปูทับด้วยแอสฟัสท์ติกคอนกรีต                (สายที่ 2) ตำบลเอกราช อำเภอป่าโมก จังหวัดอ่างทอง</t>
  </si>
  <si>
    <t>ก่อสร้างถนนคอนกรีตเสริมเหล็ก ทางจากแยกต้นหูกวาง หมู่ที่ 5          ตำบลจำลอง อำเภอแสวงหา ถึงถนน คอนกรีตเสริมเหล็ก เชื่อมต่อหมู่ที่ 1 ตำบลห้วยไผ่ อำเภอแสวงหา จังหวัดอ่างทอง</t>
  </si>
  <si>
    <t>ก่อสร้างถนนคอนกรีตเสริมเหล็ก หมู่ที่ 9 ตำบลบ้านพราน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</si>
  <si>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8 หมู่ที่ 7 ตำบลบ้านพราน 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</si>
  <si>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1 ตำบลสามโก้  อำเภอสามโก้ เชื่อมต่อหมู่ที่ 9  ตำบลยี่ล้น อำเภอวิเศษชัยชาญ จังหวัดอ่างทอง</t>
  </si>
  <si>
    <t>ก่อสร้างถนนคอนกรีตเสริมเหล็ก หมู่ที่  10 ตำบลสามโก้ เชื่อมต่อหมู่ที่ 6  ตำบลสามโก้  อำเภอสามโก้ จังหวัดอ่างทอง</t>
  </si>
  <si>
    <t xml:space="preserve">ก่อสร้างถนนคอนกรีตเสริมเหล็ก หมู่ที่ 4  ตำบลราษฎรพัฒนา                เชื่อมต่อหมู่ที่ 5  ตำบลมงคลธรรมนิมิต อำเภอสามโก้ จังหวัดอ่างทอง </t>
  </si>
  <si>
    <t>ก่อสร้างถนนคอนกรีตเสริมเหล็ก หมู่ที่  5  ตำบลราษฎรพัฒนา                 เชื่อมต่อหมู่ที่ 8  ตำบลมงคลธรรมนิมิต อำเภอสามโก้ จังหวัดอ่างทอง</t>
  </si>
  <si>
    <t>ก่อสร้างระบบประปาหมู่บ้านขนาดเล็ก หมู่ที่ ๕ ตำบลเอกราช                 อำเภอป่าโมก จังหวัดอ่างทอง</t>
  </si>
  <si>
    <t>ก่อสร้างระบบประปาหมู่บ้านขนาดใหญ่ หมู่ที่ ๓ ตำบลเอกราช              อำเภอป่าโมก จังหวัดอ่างทอง</t>
  </si>
  <si>
    <t>ก่อสร้างสะพานคอนกรีจเสริมเหล็ก หมู่ที่5 ตำบลย่านซื่อ                     อำเภอเมืองอ่างทอง จังหวัดอ่างทอง</t>
  </si>
  <si>
    <t>ก่อสร้างสะพานคอนกรีตเสริมเหล็ก หมู่ที่ 3 ตำบลสีบัวทอง                   อำเภอแสวงหา จังหวัดอ่างทอง</t>
  </si>
  <si>
    <t>ก่อสร้างเขื่อนป้องกันตลิ่งริมแม่น้ำน้อย (ต่อเนื่องเขื่อนเดิม)                   บริเวณหน้าวัดท่าสามัคคี หมู่ที่ 1 ตำบลองครักษ์ อำเภอโพธิ์ทอง            จังหวัดอ่างทอง</t>
  </si>
  <si>
    <t>ก่อสร้างเขื่อนเรียงหิน บริเวณหน้าวัดโคกพุทรา หมู่ 1  ตำบลโคกพุทรา อำเภอโพธิ์ทอง จังหวัดอ่างทอง</t>
  </si>
  <si>
    <t>ส่งเสริมความเข้มแข็งในการบริหารจัดการด้านการเงิน,การคลังที่มี      ธรรมาภิบาลและการป้องกันปราบปรามการทุจริตในภาครัฐ</t>
  </si>
  <si>
    <t>ปรับปรุงภูมิทัศน์หาดเจ้าพระยา หมู่ที่ 1 ตำบลราชสถิตย์  อำเภอไชโย จังหวัดอ่างทอง</t>
  </si>
  <si>
    <t xml:space="preserve">   สัญญา     เรื่มต้น-สิ้นสุด</t>
  </si>
  <si>
    <t>จำนวน</t>
  </si>
  <si>
    <t>กิจกรรมที่ 2.1 ขยายไหล่ทางและปรับปรุงผิวจราจรถนนลาดยาง สาย อท.2034 แยก ทล.32-บ.มหานาม           อ.ไชโย จ.อ่างทอง  ระยะทางไม่น้อยกว่า 2.000 กม.       (ตอนที่ 2)</t>
  </si>
  <si>
    <t>กิจกรรมที่ 4.1 ก่อสร้างซุ้มประตูทางเข้าหมู่บ้านทำกลองและปรับปรุงภูมิทัศน์ ตำบลเอกราช อำเภอป่าโมก             จังหวัดอ่างทอง</t>
  </si>
  <si>
    <t>อนุมัติโครงการ</t>
  </si>
  <si>
    <t>ครุภัณฑ์</t>
  </si>
  <si>
    <t xml:space="preserve"> - เครื่องซีลสูญญากาศ กำลังซีลไม่น้อยกว่า 0.6 kw กำลังปั๊มสูญญากาศ 3 คิว</t>
  </si>
  <si>
    <t xml:space="preserve"> - รถรางชมวิวขนาดไม่น้อยกว่า 35 ที่นั่ง (เปิดข้าง) เครื่องใหม่</t>
  </si>
  <si>
    <t xml:space="preserve"> - เครื่องสูบน้ำขนาดไม่ต่ำกว่า 10 แรงม้า ท่อพญานาคแสตนเลส เส้นผ่าศูนย์กลาง 8 นิ้ว 6 เมตร พร้อมอุปกรณ์ จำนวน 1 เครื่อง</t>
  </si>
  <si>
    <t>สำนักงานประมงจังหวัด</t>
  </si>
  <si>
    <t xml:space="preserve"> - เครื่องสับหญ้าแบบ 4 ใบมีด </t>
  </si>
  <si>
    <t>สำนักงานปศุสัตว์จังหวัด</t>
  </si>
  <si>
    <t xml:space="preserve"> - ชุดใบพัดตีน้ำ 2 ชุด พร้อมตู้ควบคุมและติดตั้ง</t>
  </si>
  <si>
    <t xml:space="preserve"> - ตู้แช่แข็งฝาทึบ ขนาด 13.5 คิว (สีเทา)</t>
  </si>
  <si>
    <t xml:space="preserve"> - เครื่องบดย่อยกิ่งไม้</t>
  </si>
  <si>
    <t>สำนักงานเกษตรจังหวัด</t>
  </si>
  <si>
    <t>4.4.2 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 2560</t>
  </si>
  <si>
    <t>สำนักงานคลังจังหวัด</t>
  </si>
  <si>
    <t>สำนักงานประชาสัมพันธ์</t>
  </si>
  <si>
    <t>6) ค่าวิทยากร ค่าอาหารจัดประชุม ค่าจ้างเหมาจัดทำเอกสาร และงานอำนวยการบูรณาการทั่วไปของจังหวัด</t>
  </si>
  <si>
    <t>อบรมพัฒนาศักยภาพเจ้าหน้าที่สาธารณสุขเรื่องการบำบัดฟื้นฟูยาเสพติด การติดตามและการบันทึกข้อมูล</t>
  </si>
  <si>
    <t>สาธารณสุข</t>
  </si>
  <si>
    <t xml:space="preserve"> </t>
  </si>
  <si>
    <t>หจก.อ่างทองพัฒนา</t>
  </si>
  <si>
    <t>หจก.เจริญอารี</t>
  </si>
  <si>
    <t>หจก.มหาราชชัยมงคล</t>
  </si>
  <si>
    <t>หจก.ทรัพย์สายทอง</t>
  </si>
  <si>
    <t>หจก.ศรณรงค์ ก่อสร้าง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</si>
  <si>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</si>
  <si>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</si>
  <si>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งบประมาณที่ได้รับจัดสรร (บาท)</t>
  </si>
  <si>
    <t>ผลการเบิกจ่ายงบประมาณ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</si>
  <si>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</si>
  <si>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</si>
  <si>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</si>
  <si>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</si>
  <si>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เริ่มต้น 16 พ.ย. 59 ถึง 13 ก.ย. 60</t>
  </si>
  <si>
    <t>งบประมาณ 185,998,300 บาท (หนึ่งร้อยแปดสิบห้าล้านเก้าแสนเก้าหมื่นแปดพันสามร้อยบาท)</t>
  </si>
  <si>
    <t>บริษัท รถรางชมเมืองสุโขทัย จำกัด</t>
  </si>
  <si>
    <t xml:space="preserve"> องค์การสงเคราะห์ทหารผ่านศึก</t>
  </si>
  <si>
    <t>หจก.ม่วงเตี้ย รุ่งเรือง</t>
  </si>
  <si>
    <t>เริ่ม 24 พ.ย. 59
ถึง 23 ธ.ค. 59</t>
  </si>
  <si>
    <t>บริษัท TDD ก่อสร้าง จำกัด</t>
  </si>
  <si>
    <t>นายนรงค์ ปานวิเชียร</t>
  </si>
  <si>
    <t>เริ่ม 29 พ.ย. 59 ถึง 28 ม.ค. 60</t>
  </si>
  <si>
    <t>เหลือจ่าย</t>
  </si>
  <si>
    <t>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</si>
  <si>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ส่งเสริมและพัฒนาฟาร์มตัวอย่างตามพระราชดำริ ในสมเด็จพระนางเจ้าฯ พระบรมราชินีนาถ บ้านยางกลาง ตำบลสีบัวทอง                 อำเภอแสวงหา จังหวัดอ่างทอง</t>
  </si>
  <si>
    <t>ส่งเสริมและพัฒนาฟาร์มตัวอย่างตามพระราชดำริ ในสมเด็จพระนางเจ้าฯ พระบรมราชินีนาถ หนองระหารจีน ตำบลบ้านอิฐ                อำเภอเมืองอ่างทอง จังหวัดอ่างทอง</t>
  </si>
  <si>
    <t xml:space="preserve"> - ค่าจ้างเหมาสร้างอาคารศูนย์แสดง และจำหน่ายสินค้าผลิตภัณฑ์ชุมชน บริเวณวัดจันทรังษี</t>
  </si>
  <si>
    <t xml:space="preserve"> - ค่าตู้โชว์แสดง และโต๊ะสินค้าจำหน่ายผลิตภัณฑ์ชุมชน</t>
  </si>
  <si>
    <t xml:space="preserve"> - ค่าจ้างเหมาปรับปรุงภูมิทัศน์ ฐานการเรียนร็ภูมิปัญญาท้องถิ่นในชุมชน</t>
  </si>
  <si>
    <t xml:space="preserve"> ลงทุน</t>
  </si>
  <si>
    <t>ดำเนินงาน</t>
  </si>
  <si>
    <t xml:space="preserve"> - เครื่องมัลติมีเดียโปรเจคเตอร์ จำนวน 14 เครื่อง ๆ ละ 17,000 บาท</t>
  </si>
  <si>
    <t xml:space="preserve"> - ปรับปรุงภูมิทัศน์ภายในหมู่บ้านบางเสด็จ หมู่ที่ 2 ตำบลบางเสด็จ อำเภอป่าโมก</t>
  </si>
  <si>
    <t>เริ่ม 16 ธ.ค. 59 ถึง 16 มี.ค. 60</t>
  </si>
  <si>
    <t xml:space="preserve">เริ่ม 21 พ.ย.59 ถึง 20 ม.ค. 60 </t>
  </si>
  <si>
    <t>เริ่ม 16 ธ.ค. 59 ถึง 14 ก.พ. 60</t>
  </si>
  <si>
    <t>เริ่ม 28 พ.ย. 59
ถึง 28 ม.ค. 60</t>
  </si>
  <si>
    <t xml:space="preserve">เริ่ม 22 พ.ย. 59 ถึง 19 ก.พ. 60 </t>
  </si>
  <si>
    <t>เริ่ม 16 พ.ย. 59
ถึง 16 ม.ค. 60</t>
  </si>
  <si>
    <t>เริ่ม 1 ธ.ค. 59
ถึง 28 ก.พ. 60</t>
  </si>
  <si>
    <t>หจก.สหทัยค้าไม้สระบุรี</t>
  </si>
  <si>
    <t xml:space="preserve">สหสมชัย ธนพร </t>
  </si>
  <si>
    <t>เริ่มต้น 28 พ.ย. 59 ถึง 27 ม.ค. 60</t>
  </si>
  <si>
    <t>เริ่ม 30 พ.ย. 59 ถึง 25 ก.ย. 60</t>
  </si>
  <si>
    <t>เริ่ม 30 พ.ย. 59 ถึง 30 มี.ค. 60</t>
  </si>
  <si>
    <t>เริ่ม 16 พ.ย. 59
ถึง 13 ก.พ. 60</t>
  </si>
  <si>
    <t>เริ่ม 24 พ.ย. 59
ถึง 22 ก.พ. 60</t>
  </si>
  <si>
    <t>ผลการดำเนินงานและการเบิกจ่ายงบประมาณค่าใช้จ่ายในการบริหารจัดการจังหวัดอ่างทอง ประจำปีงบประมาณ 2560</t>
  </si>
  <si>
    <t>งบประมาณ 8000000 บาท (แปดล้านบาทถ้วน)</t>
  </si>
  <si>
    <t>องค์การสงเคราะห์ทหารผ่านศึก</t>
  </si>
  <si>
    <t xml:space="preserve"> - กิจกรรมที่ 1 พัฒนาการผลิตนกกระทาสู่มาตรฐาน (การฝึกอบรมพัฒนาเกษตรกรผู้เลี้ยงนกกระทาและผู้สนใจ)</t>
  </si>
  <si>
    <t xml:space="preserve"> - กิจกรรมที่ 2 พัฒนาการแปรรูปผลิตภัณฑ์นกกระทาอ่างทอง (การฝึกอบรมพัฒนาแปรรูปผลิตภัณฑ์นกกระทาอ่างทอง)</t>
  </si>
  <si>
    <t xml:space="preserve"> - กิจกรรมที่ 3 การส่งเสริมความรู้ด้านอาหารศึกษาและกระตุ้นการบริโภคผลิตภัณฑ์นกกระทา (การฝึกอบรมความรู้ด้านอาหารศึกษาและกระตุ้นการบริโภคผลิตภัณฑ์นกกระทา)</t>
  </si>
  <si>
    <t xml:space="preserve"> - กิจกรรมที่ 4 การติดตามความก้าวหน้าของโครงการ</t>
  </si>
  <si>
    <t>ก่อสร้างสะพาน คอนกรีตเสริมเหล็ก ทางเข้าโรงพยาบาลป่าโมก  หมู่ที่ 2 ตำบลป่าโมก อำเภอป่าโมก จังหวัดอ่างทอง</t>
  </si>
  <si>
    <t>เริ่ม 30 พ.ย. 59
ถึง 27 ก.พ. 60</t>
  </si>
  <si>
    <t>เริ่ม 9 ธ.ค. 59 ถึง 6 ก.ค. 60</t>
  </si>
  <si>
    <t>ดำเนินกิจกรรม To be number one ในสถานพินิจและคุ้มครองเด็ก</t>
  </si>
  <si>
    <t>หจก.ประสิทรุ่งเรือง</t>
  </si>
  <si>
    <t>เบิกงบลงทุน</t>
  </si>
  <si>
    <t>เบิกดำเนินงาน</t>
  </si>
  <si>
    <t>เริ่ม 16 ธ.ค. 59 ถึง 11 ต.ค.60</t>
  </si>
  <si>
    <t>ก่อสร้างสะพานคอนกรีตเสริมเหล็ก ระหว่าง ตำบลจำลอง อำเภอแสวงหา เชื่อมต่อ ตำบลแสวงหา หมู่ที่ 2 และตำบลศรีพราน หมู่ 1 อำเภอแสวงหา จังหวัดอ่างทอง</t>
  </si>
  <si>
    <t xml:space="preserve">  70.1ก่อสร้างอาคารศูนย์ฝึกอาชีพและแสดงสินค้า OTOP หมู่ที่ 6          ตำบลหัวตะพาน อำเภอวิเศษชัยชาญ จังหวัดอ่างทอง</t>
  </si>
  <si>
    <t>บริษัท สตรีม อาคิเทคเทอรัล แอนด์ เอ็นจิเนียริ่ง จำกัด</t>
  </si>
  <si>
    <t>เริ่ม 29 ธ.ค.59 ถึง 27 มิ.ย. 60</t>
  </si>
  <si>
    <t>บริษัท จันทร์สมบูรณ์ไลท์ติ้ง จำกัด</t>
  </si>
  <si>
    <t>ร้าน คิงส์ทองพาณิชย์</t>
  </si>
  <si>
    <t>บริษัทสองฝั่งการเกษตร จำกัด</t>
  </si>
  <si>
    <t xml:space="preserve"> บริษัท
วีระมาศการเกษตร จำกัด</t>
  </si>
  <si>
    <t xml:space="preserve"> บริษัท 
วีระมาศการเกษตร จำกัด</t>
  </si>
  <si>
    <t>ห้างหุ้นส่วนจำกัด หัวเหรียญ อีสาน</t>
  </si>
  <si>
    <t>เริ่ม 15 ธ.ค. 59 สิ้นสุด 14 ม.ค. 60</t>
  </si>
  <si>
    <t>เริ่ม 25 พ.ย. 59 สิ้นสุด 25 มี.ค. 60</t>
  </si>
  <si>
    <t>เริ่มต้น 25พ.ย. 59
 สิ้นสุด 15 ธ.ค. 60</t>
  </si>
  <si>
    <t>บริษัท 
ซีแอลพี อินเตอร์เทรด จำกัด</t>
  </si>
  <si>
    <t>เริ่ม 14 ธ.ค. 59 สิ้นสุด 3 ม.ค. 60</t>
  </si>
  <si>
    <t>บริษัท โกลแพนด้าอินเตอร์เทค จำกัด</t>
  </si>
  <si>
    <t>คิงทองพานิชย์</t>
  </si>
  <si>
    <t>เริ่ม 16 ธ.ค. 59 สิ้นสุด 23 ธ.ค. 59</t>
  </si>
  <si>
    <t>ลงนามสัญญาแล้ว</t>
  </si>
  <si>
    <t>เริ่ม 24 ธ.ค. 59 ถึง 22 เม.ย. 60</t>
  </si>
  <si>
    <t>เริ่ม 9 ธ.ค. 59 
ถึง 6 ก.พ. 60</t>
  </si>
  <si>
    <t>เริ่ม 19 ธ.ค. 59 สิ้นสุด 19 มี.ค.60</t>
  </si>
  <si>
    <t>เริ่ม 30 ธ.ค. 59 สิ้นสุด 12 ก.พ.60</t>
  </si>
  <si>
    <t>หจก.บางจากการโยธา</t>
  </si>
  <si>
    <t>เริ่ม 27 ธ.ค. 59
ถึง 25 เม.ย. 60</t>
  </si>
  <si>
    <t>ยกเลิก
โครงการ
และ คืนเงิน</t>
  </si>
  <si>
    <t>เริ่ม 28 พ.ย. 59 ถึง 20 มี.ค. 60</t>
  </si>
  <si>
    <t>เริ่ม 27 ม.ค. 59 ถึง 25 พ.ค. 60</t>
  </si>
  <si>
    <t>ดำเนินการเสร็จแล้ว</t>
  </si>
  <si>
    <t>ลงนามสัญญาจ้างแล้ว</t>
  </si>
  <si>
    <t>บริษัทมัลติซิล
คอมพิวเตอร์แอนด์แอดเวิร์ด จำกัด</t>
  </si>
  <si>
    <t>ส่งมอบ 
27 ก.พ. 60</t>
  </si>
  <si>
    <t>หจก.โอบภกิจ จำกัด</t>
  </si>
  <si>
    <t>บริษัท เจ เค
เฟอร์นิเจอร์จำกัด</t>
  </si>
  <si>
    <t>หจก.รุ้งทวีการโยธาจำกัด</t>
  </si>
  <si>
    <t>เริ่มต้น 26ธ.ค.59 สิ้นสุด 24 ก.พ.60</t>
  </si>
  <si>
    <t>เริ่ม 28 ธ.ค. 59 ถึง 25 มิ.ย.60</t>
  </si>
  <si>
    <t>ส่งเสริมความเข้มแข็งหมู่บ้าน/ชุมชนที่มีการแพร่ระบาดรุนแรง</t>
  </si>
  <si>
    <t xml:space="preserve"> ค้นหาผู้เสพยา/เสพติดเพื่อเข้ารับการบำบัด</t>
  </si>
  <si>
    <t>เริ่ม 29 ธ.ค.59 สิ้นสุด 27 พ.ค. 60</t>
  </si>
  <si>
    <t>หักเงินเหลือจ่ายครั้งที่ 1 จำนวน 7,691,583.30</t>
  </si>
  <si>
    <t>หจก.บีดีซัคเซท</t>
  </si>
  <si>
    <t>เริ่มต้น30 ธ.ค.59 สิ้นสุด 15 ก.พ.60</t>
  </si>
  <si>
    <t>เริ่ม 28 ธ.ค.59 สิ้นสุด 17 ม.ค.60</t>
  </si>
  <si>
    <t>เริ่มต้น 30 ธ.ค.59 สิ้นสุด 10 ม.ค.60</t>
  </si>
  <si>
    <t>หจก.5 ธ.ทางพระ</t>
  </si>
  <si>
    <t>เริ่มต้น 10 ธ.ค.59 สิ้นสุด 9 มี.ค.60</t>
  </si>
  <si>
    <t>เริ่มต้น 17 ธ.ค.59 สิ้นสุด 16 มี.ค. 60</t>
  </si>
  <si>
    <t xml:space="preserve"> - คอมพิวเตอร์โน๊ตบุ๊คสำหรับสำนักงาน จำนวน 14 เครื่อง </t>
  </si>
  <si>
    <t>4.4.3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( 50 วัน ) พระบาทสมเด็จพระปรมินทรมหาภูมิพลอดุลยเดช วันที่ 1 ธันวาคม 2559</t>
  </si>
  <si>
    <t>4.4.4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( 100 วัน ) พระบาทสมเด็จพระปรมินทรมหาภูมิพลอดุลยเดช วันที่ 20 มกราคม 2560</t>
  </si>
  <si>
    <t>ที่ทำการปกครองจังหวัดอ่างทอง</t>
  </si>
  <si>
    <t>4.4.5 โครงการ " หน่วยบำบัดทุกข์ บำรุงสุขสร้างรอยยิ้มให้ประชาชน " เพื่อเสริมสร้างความเข้าใจของประชาชนในการดำเนินงานตามยุทธศาสตร์การพัฒนาจังหวัดอ่างทอง ประจำปีงบประมาณ พ.ศ. 2560</t>
  </si>
  <si>
    <t>4.4.6 โครงการขับขี่ปลอดภัยและสร้างวัฒนธรรมความปลอดภัยแก่เยาวชนจังหวัดอ่างทอง</t>
  </si>
  <si>
    <t>สำนักงานป้องกันและบรรเทา
สาธารณภัยจังหวัดอ่างทอง</t>
  </si>
  <si>
    <t>4.4.7 โครงการเพิ่มประสิทธิภาพการคำนวณราคากลางงานก่อสร้างจังหวัดอ่างทอง</t>
  </si>
  <si>
    <t>สำนักงานจังหวัด
(หน่วยงานตรวจสอบภายใน)</t>
  </si>
  <si>
    <t>5.2.2 โครงการผู้ว่าพบประชาชน ประจำปีงบประมาณ พ.ศ. 2560</t>
  </si>
  <si>
    <t>5.2.3 โครงการจัดทำปฏิทินส่งเสริมการท่องเที่ยวจังหวัดอ่างทอง ประจำปี 2560</t>
  </si>
  <si>
    <t>5.2.4 โครงการบูรณาการความร่วมมือด้านการประชาสัมพันธ์ เพื่อการพัฒนาจังหวัดอ่างทอง</t>
  </si>
  <si>
    <t>5.2.5 โครงการประชาสัมพันธ์กิจกรรมส่งเสริมการท่องเที่ยวจังหวัดอ่างทอง ประจำปีงบประมาณ พ.ศ. 2560</t>
  </si>
  <si>
    <t>5.1.1 โครงการประชาสัมพันธ์ยุทธศาสตร์การพัฒนาจังหวัดอ่างทอง ประจำปีงบประมาณ พ.ศ.2560 ภายใต้โครงการเพิ่มประสิทธิภาพการบริหารจัดการยุทธศาสตร์การพัฒนาจังหวัดอ่างทอง ประจำปีงบประมาณ พ.ศ.2560</t>
  </si>
  <si>
    <t>โครงการเงินเหลือจ่าย</t>
  </si>
  <si>
    <t>งาน " อ่างทองรำลึก 31 ปี ใต้ร่มพระบารมีองค์ภูมิพล "</t>
  </si>
  <si>
    <t>ที่ทำการปกครองจังหวัด</t>
  </si>
  <si>
    <t>ได้ผู้รับจ้าง
รอเซ็นสัญญา</t>
  </si>
  <si>
    <t>งบลงทุนคาดว่าจะเบิกไตรมาส 2</t>
  </si>
  <si>
    <t>งบลงทุนที่ครบสัญญา</t>
  </si>
  <si>
    <t>ห้างหุ้นส่วนจำกัด ส.งามทรัพย์</t>
  </si>
  <si>
    <t xml:space="preserve">ปรับปรุงภูมิทัศน์หาดเจ้าพระยา หมู่ที่ 1 ตำบลราชสถิตย์ 
 อำเภอไชโย จังหวัดอ่างทอง                                       </t>
  </si>
  <si>
    <t xml:space="preserve">ปรับปรุงภูมิทัศน์ โครงการพัฒนาพื้นที่แก้มลิงหนองเจ็ดเส้นอันเนื่องมากจากพระราชดำริ                         </t>
  </si>
  <si>
    <t xml:space="preserve">ปรับปรุงบึงสำเภาลอย ตำบลโรงช้าง อำเภอป่าโมก จังหวัดอ่างทอง                    </t>
  </si>
  <si>
    <t>ปรับปรุงหนองเป็ด พร้อมเสริมคันดิน ตำบลโคกพุทรา
 อำเภอโพธิ์ทอง จังหวัดอ่างทอง</t>
  </si>
  <si>
    <t>เสร็จแล้ว</t>
  </si>
  <si>
    <t>วันที่ 23กุมภาพันธ์ 2560</t>
  </si>
  <si>
    <t>วันที่ 23 กุมภาพันธ์ 2560</t>
  </si>
  <si>
    <t>สรุปการอนุมัติโครงการ</t>
  </si>
  <si>
    <t>งบประมาณค่าใช้จ่ายในการสนับสนุนการแก้ไขปัญหาความเดือดร้อนเร่งด่วนของประชาชนในจังหวัดอ่างทอง ประจำปีงบประมาณ พ.ศ. 2560</t>
  </si>
  <si>
    <t>ประจำปีงบประมาณ พ.ศ. 2560 งวดที่ 1 (2 ล้านบาท)</t>
  </si>
  <si>
    <t>ข้อมูล ณ วันที่ 25 มกราคม 2560</t>
  </si>
  <si>
    <t>โครงการ</t>
  </si>
  <si>
    <t>งบประมาณที่ได้รับอนุมัติ</t>
  </si>
  <si>
    <t>งบประมาณที่ได้รับอนุมัติ (สะสม)</t>
  </si>
  <si>
    <t>คงเหลืองบประมาณที่สามารถอนุมัติได้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</si>
  <si>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</si>
  <si>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2560         </t>
  </si>
  <si>
    <t>-</t>
  </si>
  <si>
    <t>1.1 โครงการก่อสร้างติดตั้งหอถังน้ำสูง (ทรงแชมเปญ) ขนาดความจุ 20 ลบ.ม.</t>
  </si>
  <si>
    <t xml:space="preserve"> - สำนักงานจังหวัดอ่างทอง
 - อำเภอไชโย</t>
  </si>
  <si>
    <t>1.2 โครงการก่อสร้างห้องสุขาสำหรับประชาชน อำเภอแสวงหา จังหวัดอ่างทอง ประจำปีงบประมาณ พ.ศ. 2560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</si>
  <si>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</si>
  <si>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อำเภอป่าโมก</t>
  </si>
  <si>
    <t>1.4 โครงการปรับปรุงประปาหมู่บ้านหมู่ที่ 1 บ้านช่องน้ำไหล จำนวน 3 หอถัง ตำบลห้วยคันแหลนอำเภอวิเศษชัยชาญ จังหวัดอ่างทอง</t>
  </si>
  <si>
    <t xml:space="preserve"> - สำนักงานจังหวัดอ่างทอง
 - อำเภอวิเศษชัยชาญ</t>
  </si>
  <si>
    <t>1.5 โครงการปรับปรุงฟื้นฟูแหล่งกักเก็บน้ำบ้านไผ่นกนอน</t>
  </si>
  <si>
    <t xml:space="preserve"> - สำนักงานจังหวัดอ่างทอง
 - อำเภอสามโก้</t>
  </si>
  <si>
    <t>1.6 โครงการพัฒนาการให้บริการของศูนย์ดำรงธรรม
จังหวัดอ่างทอง</t>
  </si>
  <si>
    <t xml:space="preserve"> - สำนักงานจังหวัดอ่างทอง</t>
  </si>
  <si>
    <t>สัญญาจ้าง</t>
  </si>
  <si>
    <t>1.3 ก่อสร้างระบบประปาหมู่บ้านขนาดเล็ก (ขนาดความจุ 20 ลูกบาศก์เมตร) หมู่ที่ 5 ตำบลเอกราช อำเภอป่าโมก จังหวัดอ่างทอง</t>
  </si>
  <si>
    <t xml:space="preserve">ร้าน ช.ชยาภรณ์ </t>
  </si>
  <si>
    <t xml:space="preserve">เริ่ม 8 ก.พ.60
สิ้นสุด 10 มี.ค. 60 </t>
  </si>
  <si>
    <t xml:space="preserve">เบิกจ่าย </t>
  </si>
  <si>
    <t>ผลการเบิกจ่าย (บาท)</t>
  </si>
  <si>
    <t xml:space="preserve">เริ่ม 2 ก.พ. 60
สิ้นสุด 22 ก.พ. 60 </t>
  </si>
  <si>
    <t xml:space="preserve">ร้าน รดาบาดาล </t>
  </si>
  <si>
    <t xml:space="preserve">1. งานเกษตรและของดีเมืองอ่างทอง </t>
  </si>
  <si>
    <t>2. งาน " อ่างทองรำลึก 31 ปี ใต้ร่มพระบารมีองค์ภูมิพล "</t>
  </si>
  <si>
    <t xml:space="preserve">3. ปรับปรุงภูมิทัศน์หาดเจ้าพระยา หมู่ที่ 1 ตำบลราชสถิตย์ 
 อำเภอไชโย จังหวัดอ่างทอง                                       </t>
  </si>
  <si>
    <t xml:space="preserve">4. ปรับปรุงภูมิทัศน์ โครงการพัฒนาพื้นที่แก้มลิงหนองเจ็ดเส้นอันเนื่องมากจากพระราชดำริ                         </t>
  </si>
  <si>
    <t xml:space="preserve">5. ปรับปรุงบึงสำเภาลอย ตำบลโรงช้าง อำเภอป่าโมก จังหวัดอ่างทอง                    </t>
  </si>
  <si>
    <t>6. ปรับปรุงหนองเป็ด พร้อมเสริมคันดิน ตำบลโคกพุทรา
 อำเภอโพธิ์ทอง จังหวัดอ่างทอง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</si>
</sst>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_-;_-@_-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3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wrapText="1"/>
    </xf>
    <xf numFmtId="43" fontId="7" fillId="3" borderId="3" xfId="13" applyFont="1" applyFill="1" applyBorder="1"/>
    <xf numFmtId="0" fontId="7" fillId="3" borderId="3" xfId="0" applyFont="1" applyFill="1" applyBorder="1"/>
    <xf numFmtId="0" fontId="13" fillId="3" borderId="3" xfId="0" applyFont="1" applyFill="1" applyBorder="1" applyAlignment="1">
      <alignment horizontal="center" wrapText="1"/>
    </xf>
    <xf numFmtId="43" fontId="7" fillId="3" borderId="3" xfId="13" applyFont="1" applyFill="1" applyBorder="1" applyAlignment="1">
      <alignment horizontal="right"/>
    </xf>
    <xf numFmtId="0" fontId="20" fillId="3" borderId="3" xfId="0" applyNumberFormat="1" applyFont="1" applyFill="1" applyBorder="1" applyAlignment="1">
      <alignment horizontal="center" vertical="top" wrapText="1"/>
    </xf>
    <xf numFmtId="41" fontId="6" fillId="3" borderId="3" xfId="0" applyNumberFormat="1" applyFont="1" applyFill="1" applyBorder="1" applyAlignment="1">
      <alignment horizontal="right" vertical="top" wrapText="1"/>
    </xf>
    <xf numFmtId="41" fontId="6" fillId="3" borderId="3" xfId="0" applyNumberFormat="1" applyFont="1" applyFill="1" applyBorder="1" applyAlignment="1">
      <alignment horizontal="right" vertical="center" wrapText="1"/>
    </xf>
    <xf numFmtId="41" fontId="4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right" vertical="center" wrapText="1"/>
    </xf>
    <xf numFmtId="41" fontId="5" fillId="3" borderId="3" xfId="0" applyNumberFormat="1" applyFont="1" applyFill="1" applyBorder="1" applyAlignment="1">
      <alignment horizontal="right" vertical="top" wrapText="1"/>
    </xf>
    <xf numFmtId="189" fontId="15" fillId="3" borderId="3" xfId="0" applyNumberFormat="1" applyFont="1" applyFill="1" applyBorder="1" applyAlignment="1">
      <alignment horizontal="right" vertical="center" wrapText="1"/>
    </xf>
    <xf numFmtId="41" fontId="15" fillId="3" borderId="3" xfId="0" applyNumberFormat="1" applyFont="1" applyFill="1" applyBorder="1" applyAlignment="1">
      <alignment horizontal="left" vertical="center" wrapText="1"/>
    </xf>
    <xf numFmtId="0" fontId="0" fillId="0" borderId="0" xfId="0" applyBorder="1"/>
    <xf numFmtId="43" fontId="6" fillId="3" borderId="3" xfId="13" applyFont="1" applyFill="1" applyBorder="1" applyAlignment="1">
      <alignment horizontal="right" vertical="top" wrapText="1"/>
    </xf>
    <xf numFmtId="43" fontId="6" fillId="3" borderId="3" xfId="13" applyFont="1" applyFill="1" applyBorder="1" applyAlignment="1">
      <alignment horizontal="right" vertical="center" wrapText="1"/>
    </xf>
    <xf numFmtId="43" fontId="15" fillId="3" borderId="3" xfId="13" applyFont="1" applyFill="1" applyBorder="1" applyAlignment="1">
      <alignment horizontal="right" vertical="center" wrapText="1"/>
    </xf>
    <xf numFmtId="189" fontId="6" fillId="3" borderId="3" xfId="0" applyNumberFormat="1" applyFont="1" applyFill="1" applyBorder="1" applyAlignment="1">
      <alignment horizontal="right" vertical="center" wrapText="1"/>
    </xf>
    <xf numFmtId="41" fontId="4" fillId="3" borderId="3" xfId="0" applyNumberFormat="1" applyFont="1" applyFill="1" applyBorder="1" applyAlignment="1">
      <alignment horizontal="center" vertical="top" wrapText="1"/>
    </xf>
    <xf numFmtId="41" fontId="5" fillId="3" borderId="3" xfId="0" applyNumberFormat="1" applyFont="1" applyFill="1" applyBorder="1" applyAlignment="1">
      <alignment horizontal="center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3" fontId="6" fillId="2" borderId="3" xfId="1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top"/>
    </xf>
    <xf numFmtId="0" fontId="14" fillId="5" borderId="3" xfId="5" applyFont="1" applyFill="1" applyBorder="1" applyAlignment="1">
      <alignment horizontal="center" vertical="center"/>
    </xf>
    <xf numFmtId="0" fontId="24" fillId="4" borderId="3" xfId="5" applyFont="1" applyFill="1" applyBorder="1" applyAlignment="1">
      <alignment horizontal="center" vertical="top"/>
    </xf>
    <xf numFmtId="0" fontId="24" fillId="4" borderId="3" xfId="5" applyFont="1" applyFill="1" applyBorder="1" applyAlignment="1">
      <alignment horizontal="left" wrapText="1"/>
    </xf>
    <xf numFmtId="43" fontId="24" fillId="4" borderId="3" xfId="15" applyFont="1" applyFill="1" applyBorder="1" applyAlignment="1">
      <alignment horizontal="right" vertical="top"/>
    </xf>
    <xf numFmtId="43" fontId="25" fillId="4" borderId="3" xfId="15" applyFont="1" applyFill="1" applyBorder="1" applyAlignment="1">
      <alignment horizontal="right" vertical="top"/>
    </xf>
    <xf numFmtId="2" fontId="25" fillId="4" borderId="3" xfId="5" applyNumberFormat="1" applyFont="1" applyFill="1" applyBorder="1" applyAlignment="1">
      <alignment horizontal="center" vertical="top"/>
    </xf>
    <xf numFmtId="43" fontId="24" fillId="4" borderId="3" xfId="5" applyNumberFormat="1" applyFont="1" applyFill="1" applyBorder="1" applyAlignment="1">
      <alignment horizontal="right" vertical="top"/>
    </xf>
    <xf numFmtId="0" fontId="24" fillId="4" borderId="3" xfId="5" applyFont="1" applyFill="1" applyBorder="1" applyAlignment="1">
      <alignment horizontal="center" vertical="top" wrapText="1"/>
    </xf>
    <xf numFmtId="0" fontId="14" fillId="5" borderId="3" xfId="5" applyFont="1" applyFill="1" applyBorder="1" applyAlignment="1">
      <alignment horizontal="center"/>
    </xf>
    <xf numFmtId="43" fontId="14" fillId="5" borderId="3" xfId="5" applyNumberFormat="1" applyFont="1" applyFill="1" applyBorder="1" applyAlignment="1">
      <alignment horizontal="right" vertical="top"/>
    </xf>
    <xf numFmtId="2" fontId="14" fillId="5" borderId="3" xfId="5" applyNumberFormat="1" applyFont="1" applyFill="1" applyBorder="1" applyAlignment="1">
      <alignment horizontal="center" vertical="top"/>
    </xf>
    <xf numFmtId="0" fontId="14" fillId="5" borderId="3" xfId="5" applyFont="1" applyFill="1" applyBorder="1" applyAlignment="1">
      <alignment horizontal="right" vertical="top"/>
    </xf>
    <xf numFmtId="41" fontId="6" fillId="2" borderId="3" xfId="0" applyNumberFormat="1" applyFont="1" applyFill="1" applyBorder="1" applyAlignment="1">
      <alignment horizontal="center" vertical="center" wrapText="1"/>
    </xf>
    <xf numFmtId="41" fontId="24" fillId="3" borderId="3" xfId="0" applyNumberFormat="1" applyFont="1" applyFill="1" applyBorder="1" applyAlignment="1">
      <alignment horizontal="center" vertical="top" wrapText="1"/>
    </xf>
    <xf numFmtId="41" fontId="6" fillId="2" borderId="1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43" fontId="9" fillId="3" borderId="3" xfId="13" applyFont="1" applyFill="1" applyBorder="1" applyAlignment="1">
      <alignment horizontal="right" wrapText="1"/>
    </xf>
    <xf numFmtId="43" fontId="9" fillId="3" borderId="3" xfId="13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43" fontId="9" fillId="3" borderId="3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43" fontId="9" fillId="3" borderId="3" xfId="13" applyFont="1" applyFill="1" applyBorder="1"/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43" fontId="13" fillId="3" borderId="3" xfId="13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3" fontId="13" fillId="3" borderId="3" xfId="13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14" applyFont="1" applyFill="1" applyBorder="1" applyAlignment="1">
      <alignment vertical="top" wrapText="1"/>
    </xf>
    <xf numFmtId="0" fontId="12" fillId="3" borderId="3" xfId="14" applyFont="1" applyFill="1" applyBorder="1" applyAlignment="1">
      <alignment vertical="top" wrapText="1"/>
    </xf>
    <xf numFmtId="43" fontId="9" fillId="3" borderId="3" xfId="0" applyNumberFormat="1" applyFont="1" applyFill="1" applyBorder="1"/>
    <xf numFmtId="0" fontId="7" fillId="3" borderId="3" xfId="0" applyFont="1" applyFill="1" applyBorder="1" applyAlignment="1">
      <alignment horizontal="left" wrapText="1"/>
    </xf>
    <xf numFmtId="41" fontId="13" fillId="3" borderId="3" xfId="2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top" wrapText="1"/>
    </xf>
    <xf numFmtId="43" fontId="14" fillId="3" borderId="3" xfId="13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41" fontId="6" fillId="3" borderId="3" xfId="0" applyNumberFormat="1" applyFont="1" applyFill="1" applyBorder="1" applyAlignment="1">
      <alignment horizontal="center" vertical="top" wrapText="1"/>
    </xf>
    <xf numFmtId="3" fontId="4" fillId="3" borderId="3" xfId="1" applyNumberFormat="1" applyFont="1" applyFill="1" applyBorder="1" applyAlignment="1">
      <alignment vertical="top" wrapText="1"/>
    </xf>
    <xf numFmtId="41" fontId="6" fillId="3" borderId="3" xfId="1" applyNumberFormat="1" applyFont="1" applyFill="1" applyBorder="1" applyAlignment="1">
      <alignment horizontal="right" vertical="top" wrapText="1"/>
    </xf>
    <xf numFmtId="41" fontId="14" fillId="3" borderId="3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horizontal="left" vertical="top" wrapText="1"/>
    </xf>
    <xf numFmtId="41" fontId="24" fillId="3" borderId="3" xfId="0" applyNumberFormat="1" applyFont="1" applyFill="1" applyBorder="1" applyAlignment="1">
      <alignment horizontal="right" vertical="top" wrapText="1"/>
    </xf>
    <xf numFmtId="41" fontId="24" fillId="3" borderId="3" xfId="2" applyNumberFormat="1" applyFont="1" applyFill="1" applyBorder="1" applyAlignment="1">
      <alignment horizontal="right" vertical="top" wrapText="1"/>
    </xf>
    <xf numFmtId="41" fontId="5" fillId="3" borderId="3" xfId="2" applyNumberFormat="1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41" fontId="25" fillId="3" borderId="3" xfId="0" applyNumberFormat="1" applyFont="1" applyFill="1" applyBorder="1" applyAlignment="1">
      <alignment horizontal="right" vertical="top" wrapText="1"/>
    </xf>
    <xf numFmtId="43" fontId="24" fillId="3" borderId="3" xfId="13" applyFont="1" applyFill="1" applyBorder="1" applyAlignment="1">
      <alignment horizontal="righ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1" fontId="24" fillId="3" borderId="3" xfId="2" applyNumberFormat="1" applyFont="1" applyFill="1" applyBorder="1" applyAlignment="1">
      <alignment horizontal="right" vertical="top"/>
    </xf>
    <xf numFmtId="41" fontId="26" fillId="3" borderId="3" xfId="2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 wrapText="1"/>
    </xf>
    <xf numFmtId="41" fontId="24" fillId="3" borderId="3" xfId="1" applyNumberFormat="1" applyFont="1" applyFill="1" applyBorder="1" applyAlignment="1">
      <alignment horizontal="right" vertical="top" wrapText="1"/>
    </xf>
    <xf numFmtId="41" fontId="5" fillId="3" borderId="3" xfId="1" applyNumberFormat="1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center" vertical="top" wrapText="1"/>
    </xf>
    <xf numFmtId="41" fontId="24" fillId="3" borderId="3" xfId="0" applyNumberFormat="1" applyFont="1" applyFill="1" applyBorder="1" applyAlignment="1">
      <alignment horizontal="right" vertical="top"/>
    </xf>
    <xf numFmtId="43" fontId="14" fillId="3" borderId="3" xfId="13" applyFont="1" applyFill="1" applyBorder="1" applyAlignment="1">
      <alignment horizontal="right" vertical="top"/>
    </xf>
    <xf numFmtId="3" fontId="4" fillId="3" borderId="3" xfId="1" applyNumberFormat="1" applyFont="1" applyFill="1" applyBorder="1" applyAlignment="1">
      <alignment horizontal="center" vertical="top"/>
    </xf>
    <xf numFmtId="3" fontId="4" fillId="3" borderId="3" xfId="1" applyNumberFormat="1" applyFont="1" applyFill="1" applyBorder="1" applyAlignment="1">
      <alignment horizontal="center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24" fillId="3" borderId="5" xfId="2" applyNumberFormat="1" applyFont="1" applyFill="1" applyBorder="1" applyAlignment="1">
      <alignment horizontal="right" vertical="top" wrapText="1"/>
    </xf>
    <xf numFmtId="41" fontId="5" fillId="3" borderId="3" xfId="2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1" fontId="15" fillId="3" borderId="9" xfId="0" applyNumberFormat="1" applyFont="1" applyFill="1" applyBorder="1" applyAlignment="1">
      <alignment vertical="top" wrapText="1"/>
    </xf>
    <xf numFmtId="43" fontId="24" fillId="3" borderId="3" xfId="13" applyFont="1" applyFill="1" applyBorder="1" applyAlignment="1">
      <alignment horizontal="right" wrapText="1"/>
    </xf>
    <xf numFmtId="41" fontId="24" fillId="3" borderId="3" xfId="0" applyNumberFormat="1" applyFont="1" applyFill="1" applyBorder="1" applyAlignment="1">
      <alignment horizontal="right" wrapText="1"/>
    </xf>
    <xf numFmtId="41" fontId="15" fillId="3" borderId="3" xfId="0" applyNumberFormat="1" applyFont="1" applyFill="1" applyBorder="1" applyAlignment="1">
      <alignment horizontal="left" vertical="top"/>
    </xf>
    <xf numFmtId="41" fontId="15" fillId="3" borderId="3" xfId="3" applyNumberFormat="1" applyFont="1" applyFill="1" applyBorder="1" applyAlignment="1">
      <alignment horizontal="left" vertical="top" wrapText="1"/>
    </xf>
    <xf numFmtId="41" fontId="24" fillId="3" borderId="3" xfId="4" applyNumberFormat="1" applyFont="1" applyFill="1" applyBorder="1" applyAlignment="1">
      <alignment horizontal="right" vertical="top" wrapText="1"/>
    </xf>
    <xf numFmtId="49" fontId="5" fillId="3" borderId="3" xfId="3" applyNumberFormat="1" applyFont="1" applyFill="1" applyBorder="1" applyAlignment="1">
      <alignment horizontal="center" vertical="top" wrapText="1"/>
    </xf>
    <xf numFmtId="41" fontId="14" fillId="3" borderId="9" xfId="1" applyNumberFormat="1" applyFont="1" applyFill="1" applyBorder="1" applyAlignment="1">
      <alignment horizontal="right" vertical="top" wrapText="1"/>
    </xf>
    <xf numFmtId="41" fontId="5" fillId="3" borderId="9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 wrapText="1"/>
    </xf>
    <xf numFmtId="41" fontId="5" fillId="3" borderId="3" xfId="1" applyNumberFormat="1" applyFont="1" applyFill="1" applyBorder="1" applyAlignment="1">
      <alignment horizontal="center" vertical="center" wrapText="1"/>
    </xf>
    <xf numFmtId="187" fontId="5" fillId="3" borderId="3" xfId="2" applyNumberFormat="1" applyFont="1" applyFill="1" applyBorder="1" applyAlignment="1">
      <alignment horizontal="center" vertical="top" wrapText="1"/>
    </xf>
    <xf numFmtId="49" fontId="16" fillId="3" borderId="3" xfId="0" applyNumberFormat="1" applyFont="1" applyFill="1" applyBorder="1" applyAlignment="1">
      <alignment horizontal="center" vertical="top" wrapText="1"/>
    </xf>
    <xf numFmtId="43" fontId="25" fillId="3" borderId="3" xfId="13" applyFont="1" applyFill="1" applyBorder="1" applyAlignment="1">
      <alignment horizontal="right" vertical="top" wrapText="1"/>
    </xf>
    <xf numFmtId="49" fontId="17" fillId="3" borderId="3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41" fontId="15" fillId="3" borderId="2" xfId="0" applyNumberFormat="1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center" vertical="top" wrapText="1"/>
    </xf>
    <xf numFmtId="41" fontId="24" fillId="3" borderId="3" xfId="1" applyNumberFormat="1" applyFont="1" applyFill="1" applyBorder="1" applyAlignment="1">
      <alignment horizontal="right" vertical="top"/>
    </xf>
    <xf numFmtId="188" fontId="4" fillId="3" borderId="3" xfId="1" applyNumberFormat="1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41" fontId="15" fillId="3" borderId="4" xfId="3" applyNumberFormat="1" applyFont="1" applyFill="1" applyBorder="1" applyAlignment="1">
      <alignment horizontal="left" vertical="top" wrapText="1"/>
    </xf>
    <xf numFmtId="41" fontId="24" fillId="3" borderId="9" xfId="4" applyNumberFormat="1" applyFont="1" applyFill="1" applyBorder="1" applyAlignment="1">
      <alignment horizontal="right" vertical="top" wrapText="1"/>
    </xf>
    <xf numFmtId="41" fontId="24" fillId="3" borderId="9" xfId="1" applyNumberFormat="1" applyFont="1" applyFill="1" applyBorder="1" applyAlignment="1">
      <alignment horizontal="right" vertical="top" wrapText="1"/>
    </xf>
    <xf numFmtId="49" fontId="17" fillId="3" borderId="3" xfId="3" applyNumberFormat="1" applyFont="1" applyFill="1" applyBorder="1" applyAlignment="1">
      <alignment horizontal="center" vertical="top" wrapText="1"/>
    </xf>
    <xf numFmtId="41" fontId="15" fillId="3" borderId="2" xfId="3" applyNumberFormat="1" applyFont="1" applyFill="1" applyBorder="1" applyAlignment="1">
      <alignment horizontal="left" vertical="top" wrapText="1"/>
    </xf>
    <xf numFmtId="49" fontId="18" fillId="3" borderId="3" xfId="3" applyNumberFormat="1" applyFont="1" applyFill="1" applyBorder="1" applyAlignment="1">
      <alignment horizontal="center" vertical="top" wrapText="1"/>
    </xf>
    <xf numFmtId="41" fontId="15" fillId="3" borderId="3" xfId="3" applyNumberFormat="1" applyFont="1" applyFill="1" applyBorder="1" applyAlignment="1">
      <alignment vertical="top" wrapText="1"/>
    </xf>
    <xf numFmtId="41" fontId="24" fillId="3" borderId="3" xfId="3" applyNumberFormat="1" applyFont="1" applyFill="1" applyBorder="1" applyAlignment="1">
      <alignment horizontal="right" vertical="top" wrapText="1"/>
    </xf>
    <xf numFmtId="49" fontId="17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/>
    </xf>
    <xf numFmtId="41" fontId="6" fillId="3" borderId="3" xfId="0" applyNumberFormat="1" applyFont="1" applyFill="1" applyBorder="1" applyAlignment="1">
      <alignment horizontal="left" vertical="center" wrapText="1"/>
    </xf>
    <xf numFmtId="41" fontId="17" fillId="3" borderId="3" xfId="1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center" wrapText="1"/>
    </xf>
    <xf numFmtId="43" fontId="14" fillId="3" borderId="3" xfId="13" applyFont="1" applyFill="1" applyBorder="1" applyAlignment="1">
      <alignment horizontal="center" vertical="top" wrapText="1"/>
    </xf>
    <xf numFmtId="41" fontId="10" fillId="3" borderId="3" xfId="0" applyNumberFormat="1" applyFont="1" applyFill="1" applyBorder="1"/>
    <xf numFmtId="41" fontId="22" fillId="3" borderId="3" xfId="0" applyNumberFormat="1" applyFont="1" applyFill="1" applyBorder="1"/>
    <xf numFmtId="43" fontId="10" fillId="3" borderId="3" xfId="13" applyFont="1" applyFill="1" applyBorder="1"/>
    <xf numFmtId="2" fontId="10" fillId="3" borderId="3" xfId="0" applyNumberFormat="1" applyFont="1" applyFill="1" applyBorder="1"/>
    <xf numFmtId="43" fontId="0" fillId="0" borderId="0" xfId="0" applyNumberFormat="1"/>
    <xf numFmtId="43" fontId="0" fillId="0" borderId="0" xfId="13" applyFont="1"/>
    <xf numFmtId="2" fontId="0" fillId="0" borderId="0" xfId="0" applyNumberFormat="1"/>
    <xf numFmtId="43" fontId="13" fillId="3" borderId="3" xfId="13" applyFont="1" applyFill="1" applyBorder="1" applyAlignment="1">
      <alignment vertical="center" wrapText="1"/>
    </xf>
    <xf numFmtId="2" fontId="9" fillId="3" borderId="3" xfId="0" applyNumberFormat="1" applyFont="1" applyFill="1" applyBorder="1"/>
    <xf numFmtId="43" fontId="7" fillId="3" borderId="3" xfId="13" applyNumberFormat="1" applyFont="1" applyFill="1" applyBorder="1"/>
    <xf numFmtId="41" fontId="15" fillId="3" borderId="9" xfId="0" applyNumberFormat="1" applyFont="1" applyFill="1" applyBorder="1" applyAlignment="1">
      <alignment horizontal="left" vertical="top" wrapText="1"/>
    </xf>
    <xf numFmtId="41" fontId="17" fillId="3" borderId="3" xfId="0" applyNumberFormat="1" applyFont="1" applyFill="1" applyBorder="1" applyAlignment="1">
      <alignment horizontal="center" vertical="center" wrapText="1"/>
    </xf>
    <xf numFmtId="41" fontId="5" fillId="3" borderId="3" xfId="3" applyNumberFormat="1" applyFont="1" applyFill="1" applyBorder="1" applyAlignment="1">
      <alignment horizontal="center" vertical="center" wrapText="1"/>
    </xf>
    <xf numFmtId="41" fontId="4" fillId="3" borderId="3" xfId="2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top" wrapText="1"/>
    </xf>
    <xf numFmtId="41" fontId="14" fillId="3" borderId="3" xfId="2" applyNumberFormat="1" applyFont="1" applyFill="1" applyBorder="1" applyAlignment="1">
      <alignment horizontal="right" vertical="top"/>
    </xf>
    <xf numFmtId="2" fontId="7" fillId="3" borderId="3" xfId="0" applyNumberFormat="1" applyFont="1" applyFill="1" applyBorder="1"/>
    <xf numFmtId="43" fontId="13" fillId="3" borderId="3" xfId="13" applyFont="1" applyFill="1" applyBorder="1" applyAlignment="1">
      <alignment wrapText="1"/>
    </xf>
    <xf numFmtId="43" fontId="13" fillId="3" borderId="3" xfId="13" applyFont="1" applyFill="1" applyBorder="1" applyAlignment="1">
      <alignment vertical="center"/>
    </xf>
    <xf numFmtId="15" fontId="13" fillId="3" borderId="3" xfId="13" applyNumberFormat="1" applyFont="1" applyFill="1" applyBorder="1" applyAlignment="1">
      <alignment horizontal="center" vertical="center" wrapText="1"/>
    </xf>
    <xf numFmtId="0" fontId="28" fillId="0" borderId="0" xfId="0" applyFont="1"/>
    <xf numFmtId="0" fontId="7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41" fontId="4" fillId="3" borderId="3" xfId="1" applyNumberFormat="1" applyFont="1" applyFill="1" applyBorder="1" applyAlignment="1">
      <alignment horizontal="center" vertical="center"/>
    </xf>
    <xf numFmtId="41" fontId="4" fillId="3" borderId="3" xfId="1" applyNumberFormat="1" applyFont="1" applyFill="1" applyBorder="1" applyAlignment="1">
      <alignment horizontal="center" vertical="center" wrapText="1"/>
    </xf>
    <xf numFmtId="41" fontId="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/>
    <xf numFmtId="0" fontId="6" fillId="3" borderId="3" xfId="0" applyNumberFormat="1" applyFont="1" applyFill="1" applyBorder="1" applyAlignment="1">
      <alignment horizontal="left" vertical="top" wrapText="1"/>
    </xf>
    <xf numFmtId="41" fontId="15" fillId="3" borderId="3" xfId="0" applyNumberFormat="1" applyFont="1" applyFill="1" applyBorder="1" applyAlignment="1">
      <alignment horizontal="center" vertical="center" wrapText="1"/>
    </xf>
    <xf numFmtId="41" fontId="24" fillId="3" borderId="3" xfId="0" applyNumberFormat="1" applyFont="1" applyFill="1" applyBorder="1" applyAlignment="1">
      <alignment horizontal="right" vertical="center" wrapText="1"/>
    </xf>
    <xf numFmtId="43" fontId="24" fillId="3" borderId="3" xfId="13" applyFont="1" applyFill="1" applyBorder="1" applyAlignment="1">
      <alignment horizontal="center" vertical="top" wrapText="1"/>
    </xf>
    <xf numFmtId="0" fontId="0" fillId="0" borderId="0" xfId="0" applyFont="1"/>
    <xf numFmtId="0" fontId="29" fillId="0" borderId="0" xfId="0" applyFont="1"/>
    <xf numFmtId="41" fontId="6" fillId="6" borderId="3" xfId="0" applyNumberFormat="1" applyFont="1" applyFill="1" applyBorder="1" applyAlignment="1">
      <alignment horizontal="left" vertical="center" wrapText="1"/>
    </xf>
    <xf numFmtId="41" fontId="14" fillId="6" borderId="3" xfId="0" applyNumberFormat="1" applyFont="1" applyFill="1" applyBorder="1" applyAlignment="1">
      <alignment horizontal="center" vertical="top" wrapText="1"/>
    </xf>
    <xf numFmtId="41" fontId="14" fillId="6" borderId="3" xfId="0" applyNumberFormat="1" applyFont="1" applyFill="1" applyBorder="1" applyAlignment="1">
      <alignment horizontal="right" vertical="top" wrapText="1"/>
    </xf>
    <xf numFmtId="41" fontId="30" fillId="6" borderId="3" xfId="1" applyNumberFormat="1" applyFont="1" applyFill="1" applyBorder="1" applyAlignment="1">
      <alignment horizontal="center" vertical="top" wrapText="1"/>
    </xf>
    <xf numFmtId="41" fontId="6" fillId="6" borderId="3" xfId="0" applyNumberFormat="1" applyFont="1" applyFill="1" applyBorder="1" applyAlignment="1">
      <alignment horizontal="center" vertical="center" wrapText="1"/>
    </xf>
    <xf numFmtId="41" fontId="14" fillId="6" borderId="3" xfId="0" applyNumberFormat="1" applyFont="1" applyFill="1" applyBorder="1" applyAlignment="1">
      <alignment horizontal="right" vertical="center" wrapText="1"/>
    </xf>
    <xf numFmtId="43" fontId="14" fillId="6" borderId="3" xfId="13" applyFont="1" applyFill="1" applyBorder="1" applyAlignment="1">
      <alignment horizontal="center" vertical="top" wrapText="1"/>
    </xf>
    <xf numFmtId="43" fontId="14" fillId="6" borderId="3" xfId="13" applyFont="1" applyFill="1" applyBorder="1" applyAlignment="1">
      <alignment horizontal="right" vertical="top" wrapText="1"/>
    </xf>
    <xf numFmtId="41" fontId="4" fillId="6" borderId="3" xfId="0" applyNumberFormat="1" applyFont="1" applyFill="1" applyBorder="1" applyAlignment="1">
      <alignment horizontal="right" vertical="top" wrapText="1"/>
    </xf>
    <xf numFmtId="41" fontId="27" fillId="0" borderId="0" xfId="0" applyNumberFormat="1" applyFont="1"/>
    <xf numFmtId="0" fontId="31" fillId="0" borderId="0" xfId="0" applyFont="1" applyAlignment="1">
      <alignment horizontal="center" vertical="center" wrapText="1"/>
    </xf>
    <xf numFmtId="43" fontId="27" fillId="0" borderId="0" xfId="13" applyFont="1"/>
    <xf numFmtId="0" fontId="31" fillId="0" borderId="0" xfId="0" applyFont="1"/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vertical="top" wrapText="1"/>
    </xf>
    <xf numFmtId="0" fontId="11" fillId="0" borderId="3" xfId="0" applyFont="1" applyBorder="1" applyAlignment="1">
      <alignment wrapText="1"/>
    </xf>
    <xf numFmtId="41" fontId="24" fillId="3" borderId="3" xfId="0" applyNumberFormat="1" applyFont="1" applyFill="1" applyBorder="1" applyAlignment="1">
      <alignment horizontal="left" vertical="center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14" fillId="3" borderId="3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188" fontId="14" fillId="3" borderId="3" xfId="13" applyNumberFormat="1" applyFont="1" applyFill="1" applyBorder="1" applyAlignment="1">
      <alignment horizontal="center" vertical="top" wrapText="1"/>
    </xf>
    <xf numFmtId="43" fontId="0" fillId="0" borderId="0" xfId="0" applyNumberFormat="1" applyFont="1"/>
    <xf numFmtId="41" fontId="5" fillId="3" borderId="3" xfId="3" applyNumberFormat="1" applyFont="1" applyFill="1" applyBorder="1" applyAlignment="1">
      <alignment horizontal="center" vertical="top" wrapText="1"/>
    </xf>
    <xf numFmtId="41" fontId="32" fillId="0" borderId="0" xfId="0" applyNumberFormat="1" applyFont="1"/>
    <xf numFmtId="41" fontId="11" fillId="0" borderId="0" xfId="0" applyNumberFormat="1" applyFont="1"/>
    <xf numFmtId="41" fontId="10" fillId="7" borderId="3" xfId="0" applyNumberFormat="1" applyFont="1" applyFill="1" applyBorder="1" applyAlignment="1">
      <alignment horizontal="center" vertical="center" wrapText="1"/>
    </xf>
    <xf numFmtId="41" fontId="34" fillId="7" borderId="3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left" vertical="top" wrapText="1"/>
    </xf>
    <xf numFmtId="41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41" fontId="10" fillId="0" borderId="3" xfId="0" applyNumberFormat="1" applyFont="1" applyBorder="1" applyAlignment="1">
      <alignment horizontal="right" vertical="top"/>
    </xf>
    <xf numFmtId="41" fontId="11" fillId="0" borderId="3" xfId="0" applyNumberFormat="1" applyFont="1" applyBorder="1" applyAlignment="1">
      <alignment horizontal="left" vertical="top" wrapText="1"/>
    </xf>
    <xf numFmtId="41" fontId="11" fillId="0" borderId="3" xfId="13" applyNumberFormat="1" applyFont="1" applyBorder="1" applyAlignment="1">
      <alignment vertical="top"/>
    </xf>
    <xf numFmtId="41" fontId="10" fillId="0" borderId="6" xfId="0" applyNumberFormat="1" applyFont="1" applyBorder="1" applyAlignment="1">
      <alignment horizontal="center" vertical="top"/>
    </xf>
    <xf numFmtId="41" fontId="32" fillId="0" borderId="0" xfId="0" applyNumberFormat="1" applyFont="1" applyAlignment="1">
      <alignment wrapText="1"/>
    </xf>
    <xf numFmtId="41" fontId="10" fillId="8" borderId="3" xfId="13" applyNumberFormat="1" applyFont="1" applyFill="1" applyBorder="1" applyAlignment="1">
      <alignment vertical="top"/>
    </xf>
    <xf numFmtId="41" fontId="11" fillId="8" borderId="3" xfId="0" applyNumberFormat="1" applyFont="1" applyFill="1" applyBorder="1" applyAlignment="1">
      <alignment vertical="top"/>
    </xf>
    <xf numFmtId="41" fontId="0" fillId="0" borderId="0" xfId="0" applyNumberFormat="1"/>
    <xf numFmtId="41" fontId="13" fillId="0" borderId="3" xfId="0" applyNumberFormat="1" applyFont="1" applyBorder="1" applyAlignment="1">
      <alignment horizontal="left" vertical="top" wrapText="1"/>
    </xf>
    <xf numFmtId="41" fontId="7" fillId="0" borderId="3" xfId="13" applyNumberFormat="1" applyFont="1" applyBorder="1" applyAlignment="1">
      <alignment vertical="top"/>
    </xf>
    <xf numFmtId="41" fontId="9" fillId="0" borderId="3" xfId="13" applyNumberFormat="1" applyFont="1" applyBorder="1" applyAlignment="1">
      <alignment horizontal="right" vertical="top"/>
    </xf>
    <xf numFmtId="41" fontId="13" fillId="0" borderId="3" xfId="13" applyNumberFormat="1" applyFont="1" applyBorder="1" applyAlignment="1">
      <alignment horizontal="center" vertical="center" wrapText="1"/>
    </xf>
    <xf numFmtId="43" fontId="10" fillId="0" borderId="3" xfId="13" applyFont="1" applyBorder="1" applyAlignment="1">
      <alignment horizontal="right" vertical="top"/>
    </xf>
    <xf numFmtId="41" fontId="10" fillId="8" borderId="3" xfId="13" applyNumberFormat="1" applyFont="1" applyFill="1" applyBorder="1" applyAlignment="1">
      <alignment horizontal="right" vertical="top"/>
    </xf>
    <xf numFmtId="43" fontId="10" fillId="8" borderId="3" xfId="13" applyFont="1" applyFill="1" applyBorder="1" applyAlignment="1">
      <alignment vertical="top"/>
    </xf>
    <xf numFmtId="0" fontId="11" fillId="0" borderId="9" xfId="0" applyFont="1" applyBorder="1" applyAlignment="1">
      <alignment vertical="center" wrapText="1"/>
    </xf>
    <xf numFmtId="41" fontId="17" fillId="3" borderId="3" xfId="1" applyNumberFormat="1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left" vertical="top" wrapText="1"/>
    </xf>
    <xf numFmtId="41" fontId="6" fillId="3" borderId="2" xfId="0" applyNumberFormat="1" applyFont="1" applyFill="1" applyBorder="1" applyAlignment="1">
      <alignment horizontal="left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6" fillId="3" borderId="8" xfId="0" applyNumberFormat="1" applyFont="1" applyFill="1" applyBorder="1" applyAlignment="1">
      <alignment horizontal="left" vertical="top" wrapText="1"/>
    </xf>
    <xf numFmtId="41" fontId="6" fillId="3" borderId="9" xfId="0" applyNumberFormat="1" applyFont="1" applyFill="1" applyBorder="1" applyAlignment="1">
      <alignment horizontal="left" vertical="top" wrapText="1"/>
    </xf>
    <xf numFmtId="41" fontId="23" fillId="0" borderId="0" xfId="0" applyNumberFormat="1" applyFont="1" applyBorder="1" applyAlignment="1">
      <alignment horizontal="center" vertical="center" wrapText="1"/>
    </xf>
    <xf numFmtId="41" fontId="14" fillId="0" borderId="0" xfId="0" applyNumberFormat="1" applyFont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1" fontId="14" fillId="3" borderId="1" xfId="0" applyNumberFormat="1" applyFont="1" applyFill="1" applyBorder="1" applyAlignment="1">
      <alignment horizontal="center" vertical="center" wrapText="1"/>
    </xf>
    <xf numFmtId="41" fontId="14" fillId="3" borderId="11" xfId="0" applyNumberFormat="1" applyFont="1" applyFill="1" applyBorder="1" applyAlignment="1">
      <alignment horizontal="center" vertical="center" wrapText="1"/>
    </xf>
    <xf numFmtId="41" fontId="14" fillId="3" borderId="2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41" fontId="6" fillId="3" borderId="3" xfId="0" applyNumberFormat="1" applyFont="1" applyFill="1" applyBorder="1" applyAlignment="1">
      <alignment horizontal="center" vertical="top" wrapText="1"/>
    </xf>
    <xf numFmtId="41" fontId="5" fillId="3" borderId="5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left" vertical="top" wrapText="1"/>
    </xf>
    <xf numFmtId="41" fontId="6" fillId="3" borderId="4" xfId="0" applyNumberFormat="1" applyFont="1" applyFill="1" applyBorder="1" applyAlignment="1">
      <alignment horizontal="left" vertical="top" wrapText="1"/>
    </xf>
    <xf numFmtId="41" fontId="6" fillId="3" borderId="1" xfId="0" applyNumberFormat="1" applyFont="1" applyFill="1" applyBorder="1" applyAlignment="1">
      <alignment horizontal="center" vertical="top" wrapText="1"/>
    </xf>
    <xf numFmtId="41" fontId="6" fillId="3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top" wrapText="1"/>
    </xf>
    <xf numFmtId="0" fontId="6" fillId="3" borderId="2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0" fillId="3" borderId="2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14" fillId="5" borderId="3" xfId="5" applyFont="1" applyFill="1" applyBorder="1" applyAlignment="1">
      <alignment horizontal="center" vertical="center" wrapText="1"/>
    </xf>
    <xf numFmtId="41" fontId="10" fillId="8" borderId="1" xfId="0" applyNumberFormat="1" applyFont="1" applyFill="1" applyBorder="1" applyAlignment="1">
      <alignment horizontal="center"/>
    </xf>
    <xf numFmtId="41" fontId="10" fillId="8" borderId="2" xfId="0" applyNumberFormat="1" applyFont="1" applyFill="1" applyBorder="1" applyAlignment="1">
      <alignment horizontal="center"/>
    </xf>
    <xf numFmtId="41" fontId="34" fillId="7" borderId="1" xfId="0" applyNumberFormat="1" applyFont="1" applyFill="1" applyBorder="1" applyAlignment="1">
      <alignment horizontal="center" vertical="center" wrapText="1"/>
    </xf>
    <xf numFmtId="41" fontId="34" fillId="7" borderId="11" xfId="0" applyNumberFormat="1" applyFont="1" applyFill="1" applyBorder="1" applyAlignment="1">
      <alignment horizontal="center" vertical="center" wrapText="1"/>
    </xf>
    <xf numFmtId="41" fontId="34" fillId="7" borderId="2" xfId="0" applyNumberFormat="1" applyFont="1" applyFill="1" applyBorder="1" applyAlignment="1">
      <alignment horizontal="center" vertical="center" wrapText="1"/>
    </xf>
    <xf numFmtId="41" fontId="10" fillId="7" borderId="5" xfId="0" applyNumberFormat="1" applyFont="1" applyFill="1" applyBorder="1" applyAlignment="1">
      <alignment horizontal="center" vertical="center"/>
    </xf>
    <xf numFmtId="41" fontId="10" fillId="7" borderId="9" xfId="0" applyNumberFormat="1" applyFont="1" applyFill="1" applyBorder="1" applyAlignment="1">
      <alignment horizontal="center" vertical="center"/>
    </xf>
    <xf numFmtId="41" fontId="10" fillId="7" borderId="5" xfId="0" applyNumberFormat="1" applyFont="1" applyFill="1" applyBorder="1" applyAlignment="1">
      <alignment horizontal="center" vertical="center" wrapText="1"/>
    </xf>
    <xf numFmtId="41" fontId="10" fillId="7" borderId="9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/>
    </xf>
    <xf numFmtId="41" fontId="33" fillId="0" borderId="10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center" vertical="top"/>
    </xf>
    <xf numFmtId="41" fontId="10" fillId="0" borderId="7" xfId="0" applyNumberFormat="1" applyFont="1" applyBorder="1" applyAlignment="1">
      <alignment horizontal="center" vertical="top"/>
    </xf>
    <xf numFmtId="41" fontId="34" fillId="7" borderId="5" xfId="0" applyNumberFormat="1" applyFont="1" applyFill="1" applyBorder="1" applyAlignment="1">
      <alignment horizontal="center" vertical="center" wrapText="1"/>
    </xf>
    <xf numFmtId="41" fontId="34" fillId="7" borderId="9" xfId="0" applyNumberFormat="1" applyFont="1" applyFill="1" applyBorder="1" applyAlignment="1">
      <alignment horizontal="center" vertical="center" wrapText="1"/>
    </xf>
  </cellXfs>
  <cellStyles count="16">
    <cellStyle name="Comma" xfId="13" builtinId="3"/>
    <cellStyle name="Comma 2" xfId="15"/>
    <cellStyle name="Comma 3" xfId="2"/>
    <cellStyle name="Comma 4" xfId="4"/>
    <cellStyle name="Normal" xfId="0" builtinId="0"/>
    <cellStyle name="Normal 2" xfId="5"/>
    <cellStyle name="Normal 3" xfId="11"/>
    <cellStyle name="Normal 4" xfId="3"/>
    <cellStyle name="เครื่องหมายจุลภาค 2" xfId="1"/>
    <cellStyle name="เครื่องหมายจุลภาค 2 2" xfId="6"/>
    <cellStyle name="เครื่องหมายจุลภาค 2 3" xfId="12"/>
    <cellStyle name="เครื่องหมายจุลภาค 3 2 3 2" xfId="7"/>
    <cellStyle name="ปกติ 2" xfId="8"/>
    <cellStyle name="ปกติ 2 2" xfId="9"/>
    <cellStyle name="ปกติ 2_Template วิเคราะห์แผนพัฒนา ส่ง มท." xfId="10"/>
    <cellStyle name="ปกติ 3" xfId="14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abSelected="1" zoomScale="80" zoomScaleNormal="80" zoomScaleSheetLayoutView="55" workbookViewId="0">
      <pane xSplit="5" ySplit="8" topLeftCell="F114" activePane="bottomRight" state="frozen"/>
      <selection pane="topRight" activeCell="F1" sqref="F1"/>
      <selection pane="bottomLeft" activeCell="A9" sqref="A9"/>
      <selection pane="bottomRight" activeCell="A158" sqref="A158:XFD159"/>
    </sheetView>
  </sheetViews>
  <sheetFormatPr defaultRowHeight="14.25" x14ac:dyDescent="0.2"/>
  <cols>
    <col min="1" max="1" width="3" style="1" customWidth="1"/>
    <col min="2" max="2" width="45.75" style="1" customWidth="1"/>
    <col min="3" max="3" width="12.125" style="1" customWidth="1"/>
    <col min="4" max="4" width="11.375" style="1" customWidth="1"/>
    <col min="5" max="5" width="12.5" style="1" customWidth="1"/>
    <col min="6" max="6" width="9" style="1" customWidth="1"/>
    <col min="7" max="7" width="9.125" style="1" customWidth="1"/>
    <col min="8" max="8" width="11.75" style="1" customWidth="1"/>
    <col min="9" max="9" width="14.75" style="1" customWidth="1"/>
    <col min="10" max="10" width="12.375" style="1" customWidth="1"/>
    <col min="11" max="11" width="13.375" style="1" customWidth="1"/>
    <col min="12" max="12" width="14.625" style="1" customWidth="1"/>
    <col min="13" max="13" width="7.625" style="1" customWidth="1"/>
    <col min="14" max="14" width="11.625" style="1" customWidth="1"/>
    <col min="15" max="15" width="16.375" style="1" bestFit="1" customWidth="1"/>
    <col min="16" max="16" width="18.5" style="1" customWidth="1"/>
    <col min="17" max="17" width="9" style="1"/>
    <col min="18" max="18" width="16.375" style="1" customWidth="1"/>
    <col min="19" max="16384" width="9" style="1"/>
  </cols>
  <sheetData>
    <row r="1" spans="1:19" ht="23.25" customHeight="1" x14ac:dyDescent="0.2">
      <c r="A1" s="226" t="s">
        <v>201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9" ht="23.25" customHeight="1" x14ac:dyDescent="0.2">
      <c r="A2" s="226" t="s">
        <v>295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9" ht="17.25" hidden="1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9" ht="19.5" customHeight="1" x14ac:dyDescent="0.45">
      <c r="A4" s="20"/>
      <c r="B4" s="20"/>
      <c r="C4" s="20"/>
      <c r="D4" s="20"/>
      <c r="E4" s="20"/>
      <c r="F4" s="20"/>
      <c r="G4" s="20"/>
      <c r="H4" s="234" t="s">
        <v>417</v>
      </c>
      <c r="I4" s="234"/>
      <c r="J4" s="234"/>
      <c r="K4" s="234"/>
      <c r="L4" s="234"/>
      <c r="M4" s="234"/>
      <c r="N4" s="234"/>
    </row>
    <row r="5" spans="1:19" ht="19.5" customHeight="1" x14ac:dyDescent="0.2">
      <c r="A5" s="228" t="s">
        <v>78</v>
      </c>
      <c r="B5" s="228" t="s">
        <v>79</v>
      </c>
      <c r="C5" s="228" t="s">
        <v>196</v>
      </c>
      <c r="D5" s="228"/>
      <c r="E5" s="228"/>
      <c r="F5" s="231" t="s">
        <v>193</v>
      </c>
      <c r="G5" s="232"/>
      <c r="H5" s="232"/>
      <c r="I5" s="232"/>
      <c r="J5" s="233"/>
      <c r="K5" s="228" t="s">
        <v>74</v>
      </c>
      <c r="L5" s="228"/>
      <c r="M5" s="228"/>
      <c r="N5" s="229" t="s">
        <v>0</v>
      </c>
    </row>
    <row r="6" spans="1:19" ht="42.75" customHeight="1" x14ac:dyDescent="0.2">
      <c r="A6" s="228"/>
      <c r="B6" s="228"/>
      <c r="C6" s="72" t="s">
        <v>114</v>
      </c>
      <c r="D6" s="72" t="s">
        <v>83</v>
      </c>
      <c r="E6" s="72" t="s">
        <v>82</v>
      </c>
      <c r="F6" s="72" t="s">
        <v>197</v>
      </c>
      <c r="G6" s="72" t="s">
        <v>73</v>
      </c>
      <c r="H6" s="72" t="s">
        <v>195</v>
      </c>
      <c r="I6" s="72" t="s">
        <v>192</v>
      </c>
      <c r="J6" s="72" t="s">
        <v>303</v>
      </c>
      <c r="K6" s="72" t="s">
        <v>194</v>
      </c>
      <c r="L6" s="72" t="s">
        <v>75</v>
      </c>
      <c r="M6" s="72" t="s">
        <v>76</v>
      </c>
      <c r="N6" s="230"/>
      <c r="P6" s="145">
        <f>178306716.7+500000+800000</f>
        <v>179606716.69999999</v>
      </c>
      <c r="Q6" s="1" t="s">
        <v>383</v>
      </c>
    </row>
    <row r="7" spans="1:19" ht="23.25" customHeight="1" x14ac:dyDescent="0.2">
      <c r="A7" s="235" t="s">
        <v>1</v>
      </c>
      <c r="B7" s="235"/>
      <c r="C7" s="73">
        <f>D7+E7</f>
        <v>185998300</v>
      </c>
      <c r="D7" s="74">
        <f>D8+D115+D130+D140+D152+D153</f>
        <v>49056600</v>
      </c>
      <c r="E7" s="74">
        <f>E8+E115+E130+E140+E153</f>
        <v>136941700</v>
      </c>
      <c r="F7" s="12"/>
      <c r="G7" s="12"/>
      <c r="H7" s="12"/>
      <c r="I7" s="75">
        <f>I8+I115+I130+I140</f>
        <v>128969016.7</v>
      </c>
      <c r="J7" s="75">
        <f>J8+J115+J130+J140</f>
        <v>1891183.3000000007</v>
      </c>
      <c r="K7" s="75">
        <f>K8+K115+K130+K140+K152+K153</f>
        <v>33576756.520000003</v>
      </c>
      <c r="L7" s="75">
        <f>L8+L115+L130+L140+L152+L153</f>
        <v>144140360.18000001</v>
      </c>
      <c r="M7" s="75">
        <f>K7*100/P6</f>
        <v>18.694599587878333</v>
      </c>
      <c r="N7" s="76"/>
      <c r="P7" s="186" t="s">
        <v>340</v>
      </c>
      <c r="R7" s="186" t="s">
        <v>341</v>
      </c>
    </row>
    <row r="8" spans="1:19" ht="23.25" customHeight="1" x14ac:dyDescent="0.2">
      <c r="A8" s="235" t="s">
        <v>2</v>
      </c>
      <c r="B8" s="235"/>
      <c r="C8" s="73">
        <f>C9+C40+C79+C96+C106+C109</f>
        <v>151220500</v>
      </c>
      <c r="D8" s="73">
        <f>D9+D40+D79+D96+D106+D109</f>
        <v>20649300</v>
      </c>
      <c r="E8" s="73">
        <f>E9+E40+E79+E96+E106+E109</f>
        <v>130571200</v>
      </c>
      <c r="F8" s="77"/>
      <c r="G8" s="12"/>
      <c r="H8" s="12"/>
      <c r="I8" s="139">
        <f>I9+I40+I79+I96+I106+I109</f>
        <v>128594016.7</v>
      </c>
      <c r="J8" s="139">
        <f>J9+J40+J79+J96+J106+J109</f>
        <v>1891183.3000000007</v>
      </c>
      <c r="K8" s="75">
        <f>K9+K40+K79+K96+K106+K109</f>
        <v>26398483.420000002</v>
      </c>
      <c r="L8" s="75">
        <f>L9+L40+L79+L96+L106+L109</f>
        <v>122930833.28</v>
      </c>
      <c r="M8" s="75">
        <f>K8*100/C8</f>
        <v>17.456947583164983</v>
      </c>
      <c r="N8" s="78"/>
      <c r="O8" s="144"/>
      <c r="P8" s="185">
        <f>K9+K44+K49+K56+K65+K70+K97+K103+K111+K113+K135</f>
        <v>22236000</v>
      </c>
      <c r="Q8" s="144">
        <f>P8*100/E7</f>
        <v>16.237566789370952</v>
      </c>
      <c r="R8" s="185">
        <f>K43+K48+K55+K60+K64+K69+K74+K75+K79+K106+K112+K117+K127+K134+K136+K138+K141+K152+K153</f>
        <v>11340756.52</v>
      </c>
      <c r="S8" s="146">
        <f>R8*100/D7</f>
        <v>23.117697761361367</v>
      </c>
    </row>
    <row r="9" spans="1:19" ht="18.75" customHeight="1" x14ac:dyDescent="0.2">
      <c r="A9" s="221" t="s">
        <v>205</v>
      </c>
      <c r="B9" s="222"/>
      <c r="C9" s="73">
        <f>E9</f>
        <v>83276300</v>
      </c>
      <c r="D9" s="73">
        <f t="shared" ref="D9:E9" si="0">D10+D31+D34</f>
        <v>0</v>
      </c>
      <c r="E9" s="73">
        <f t="shared" si="0"/>
        <v>83276300</v>
      </c>
      <c r="F9" s="77"/>
      <c r="G9" s="79"/>
      <c r="H9" s="79"/>
      <c r="I9" s="73">
        <f t="shared" ref="I9:J9" si="1">I10+I31+I34</f>
        <v>81500700</v>
      </c>
      <c r="J9" s="73">
        <f t="shared" si="1"/>
        <v>1775600</v>
      </c>
      <c r="K9" s="75">
        <f>K10+K31+K34</f>
        <v>20325000</v>
      </c>
      <c r="L9" s="75">
        <f>L10+L31+L34</f>
        <v>61175700</v>
      </c>
      <c r="M9" s="75">
        <f>K9*100/E9</f>
        <v>24.406703948182138</v>
      </c>
      <c r="N9" s="78"/>
      <c r="P9" s="186" t="s">
        <v>410</v>
      </c>
    </row>
    <row r="10" spans="1:19" ht="21" customHeight="1" x14ac:dyDescent="0.2">
      <c r="A10" s="221" t="s">
        <v>206</v>
      </c>
      <c r="B10" s="222"/>
      <c r="C10" s="73">
        <f>E10</f>
        <v>71682600</v>
      </c>
      <c r="D10" s="73">
        <f t="shared" ref="D10:E10" si="2">D11+D12+D13+D14+D15+D16+D17+D18+D19+D20+D21+D22+D23+D24+D25+D26+D27+D28+D29+D30</f>
        <v>0</v>
      </c>
      <c r="E10" s="73">
        <f t="shared" si="2"/>
        <v>71682600</v>
      </c>
      <c r="F10" s="77"/>
      <c r="G10" s="79"/>
      <c r="H10" s="79"/>
      <c r="I10" s="73">
        <f>I11+I12+I13+I14+I15+I16+I17+I18+I19+I20+I21+I22+I23+I24+I25+I26+I27+I28+I29+I30</f>
        <v>71117000</v>
      </c>
      <c r="J10" s="73">
        <f>J11+J12+J13+J14+J15+J16+J17+J18+J19+J20+J21+J22+J23+J24+J25+J26+J27+J28+J29+J30</f>
        <v>565600</v>
      </c>
      <c r="K10" s="75">
        <f>K11+K12+K13+K14+K15+K16+K17+K18+K19+K20+K21+K22+K23+K24+K25+K26+K27+K28+K29+K30</f>
        <v>20325000</v>
      </c>
      <c r="L10" s="75">
        <f>L11+L12+L13+L14+L15+L16+L17+L18+L19+L20+L21+L22+L23+L24+L25+L26+L27+L28+L29+L30</f>
        <v>50792000</v>
      </c>
      <c r="M10" s="75">
        <f>K10*100/E10</f>
        <v>28.354161260891765</v>
      </c>
      <c r="N10" s="81"/>
      <c r="P10" s="183">
        <f>I15+I17+I35+I134</f>
        <v>10790000</v>
      </c>
    </row>
    <row r="11" spans="1:19" ht="41.25" customHeight="1" x14ac:dyDescent="0.2">
      <c r="A11" s="82">
        <v>1</v>
      </c>
      <c r="B11" s="83" t="s">
        <v>233</v>
      </c>
      <c r="C11" s="45">
        <f>E11</f>
        <v>1248000</v>
      </c>
      <c r="D11" s="84">
        <v>0</v>
      </c>
      <c r="E11" s="85">
        <f>1507000-259000</f>
        <v>1248000</v>
      </c>
      <c r="F11" s="86" t="s">
        <v>361</v>
      </c>
      <c r="G11" s="26" t="s">
        <v>202</v>
      </c>
      <c r="H11" s="87" t="s">
        <v>315</v>
      </c>
      <c r="I11" s="84">
        <v>1248000</v>
      </c>
      <c r="J11" s="88">
        <f t="shared" ref="J11:J22" si="3">E11-I11</f>
        <v>0</v>
      </c>
      <c r="K11" s="89">
        <v>0</v>
      </c>
      <c r="L11" s="89">
        <f>I11-K11</f>
        <v>1248000</v>
      </c>
      <c r="M11" s="84">
        <f>K11*100/E11</f>
        <v>0</v>
      </c>
      <c r="N11" s="90" t="s">
        <v>3</v>
      </c>
      <c r="P11" s="183">
        <f>P8+P10</f>
        <v>33026000</v>
      </c>
      <c r="Q11" s="146">
        <f>P11*100/E7</f>
        <v>24.116832199395802</v>
      </c>
    </row>
    <row r="12" spans="1:19" ht="40.5" customHeight="1" x14ac:dyDescent="0.2">
      <c r="A12" s="82">
        <v>2</v>
      </c>
      <c r="B12" s="83" t="s">
        <v>234</v>
      </c>
      <c r="C12" s="45">
        <f t="shared" ref="C12:C30" si="4">E12</f>
        <v>7776000</v>
      </c>
      <c r="D12" s="84">
        <v>0</v>
      </c>
      <c r="E12" s="91">
        <f>8000000-224000</f>
        <v>7776000</v>
      </c>
      <c r="F12" s="86" t="s">
        <v>361</v>
      </c>
      <c r="G12" s="26" t="s">
        <v>281</v>
      </c>
      <c r="H12" s="87" t="s">
        <v>337</v>
      </c>
      <c r="I12" s="84">
        <v>7776000</v>
      </c>
      <c r="J12" s="88">
        <f t="shared" si="3"/>
        <v>0</v>
      </c>
      <c r="K12" s="89">
        <v>0</v>
      </c>
      <c r="L12" s="89">
        <f>I12-K12</f>
        <v>7776000</v>
      </c>
      <c r="M12" s="84">
        <f t="shared" ref="M12:M30" si="5">K12*100/E12</f>
        <v>0</v>
      </c>
      <c r="N12" s="90" t="s">
        <v>3</v>
      </c>
      <c r="P12" s="184" t="s">
        <v>409</v>
      </c>
    </row>
    <row r="13" spans="1:19" ht="57.75" customHeight="1" x14ac:dyDescent="0.2">
      <c r="A13" s="82">
        <v>3</v>
      </c>
      <c r="B13" s="83" t="s">
        <v>235</v>
      </c>
      <c r="C13" s="45">
        <f t="shared" si="4"/>
        <v>3740000</v>
      </c>
      <c r="D13" s="84">
        <v>0</v>
      </c>
      <c r="E13" s="91">
        <f>3753100-13100</f>
        <v>3740000</v>
      </c>
      <c r="F13" s="86" t="s">
        <v>416</v>
      </c>
      <c r="G13" s="87" t="s">
        <v>298</v>
      </c>
      <c r="H13" s="87" t="s">
        <v>314</v>
      </c>
      <c r="I13" s="84">
        <v>3740000</v>
      </c>
      <c r="J13" s="88">
        <f t="shared" si="3"/>
        <v>0</v>
      </c>
      <c r="K13" s="89">
        <v>3740000</v>
      </c>
      <c r="L13" s="89">
        <v>0</v>
      </c>
      <c r="M13" s="89">
        <v>100</v>
      </c>
      <c r="N13" s="90" t="s">
        <v>4</v>
      </c>
      <c r="P13" s="183">
        <f>I16+I18+I19+I20+I21+I22+I23+I24+I26+I35+I36+I37+I38+I51+I71+I73+I98+I99+I100+I101+I102+I111+I135</f>
        <v>62985016.700000003</v>
      </c>
    </row>
    <row r="14" spans="1:19" ht="58.5" customHeight="1" x14ac:dyDescent="0.2">
      <c r="A14" s="82">
        <v>4</v>
      </c>
      <c r="B14" s="83" t="s">
        <v>236</v>
      </c>
      <c r="C14" s="45">
        <f t="shared" si="4"/>
        <v>3835000</v>
      </c>
      <c r="D14" s="84">
        <v>0</v>
      </c>
      <c r="E14" s="91">
        <f>3850000-15000</f>
        <v>3835000</v>
      </c>
      <c r="F14" s="86" t="s">
        <v>416</v>
      </c>
      <c r="G14" s="87" t="s">
        <v>298</v>
      </c>
      <c r="H14" s="87" t="s">
        <v>316</v>
      </c>
      <c r="I14" s="84">
        <v>3835000</v>
      </c>
      <c r="J14" s="88">
        <f t="shared" si="3"/>
        <v>0</v>
      </c>
      <c r="K14" s="89">
        <v>3835000</v>
      </c>
      <c r="L14" s="89">
        <v>0</v>
      </c>
      <c r="M14" s="89">
        <v>100</v>
      </c>
      <c r="N14" s="90" t="s">
        <v>4</v>
      </c>
      <c r="P14" s="144">
        <f>P8+P13</f>
        <v>85221016.700000003</v>
      </c>
      <c r="Q14" s="146">
        <f>P14*100/E7</f>
        <v>62.231604179004641</v>
      </c>
    </row>
    <row r="15" spans="1:19" ht="41.25" customHeight="1" x14ac:dyDescent="0.2">
      <c r="A15" s="82">
        <v>5</v>
      </c>
      <c r="B15" s="83" t="s">
        <v>237</v>
      </c>
      <c r="C15" s="45">
        <f t="shared" si="4"/>
        <v>8800000</v>
      </c>
      <c r="D15" s="84">
        <v>0</v>
      </c>
      <c r="E15" s="91">
        <f>8820000-20000</f>
        <v>8800000</v>
      </c>
      <c r="F15" s="86" t="s">
        <v>361</v>
      </c>
      <c r="G15" s="26" t="s">
        <v>339</v>
      </c>
      <c r="H15" s="87" t="s">
        <v>362</v>
      </c>
      <c r="I15" s="84">
        <v>8800000</v>
      </c>
      <c r="J15" s="84">
        <f t="shared" si="3"/>
        <v>0</v>
      </c>
      <c r="K15" s="89">
        <v>0</v>
      </c>
      <c r="L15" s="89">
        <f>I15-K15</f>
        <v>8800000</v>
      </c>
      <c r="M15" s="84">
        <f t="shared" si="5"/>
        <v>0</v>
      </c>
      <c r="N15" s="90" t="s">
        <v>5</v>
      </c>
    </row>
    <row r="16" spans="1:19" ht="60" customHeight="1" x14ac:dyDescent="0.2">
      <c r="A16" s="82">
        <v>6</v>
      </c>
      <c r="B16" s="83" t="s">
        <v>238</v>
      </c>
      <c r="C16" s="45">
        <f t="shared" si="4"/>
        <v>2390000</v>
      </c>
      <c r="D16" s="84">
        <v>0</v>
      </c>
      <c r="E16" s="91">
        <f>2400000-10000</f>
        <v>2390000</v>
      </c>
      <c r="F16" s="86" t="s">
        <v>361</v>
      </c>
      <c r="G16" s="87" t="s">
        <v>203</v>
      </c>
      <c r="H16" s="87" t="s">
        <v>363</v>
      </c>
      <c r="I16" s="84">
        <v>2390000</v>
      </c>
      <c r="J16" s="84">
        <f t="shared" si="3"/>
        <v>0</v>
      </c>
      <c r="K16" s="89">
        <v>0</v>
      </c>
      <c r="L16" s="89">
        <f>I16-K16</f>
        <v>2390000</v>
      </c>
      <c r="M16" s="84">
        <f t="shared" si="5"/>
        <v>0</v>
      </c>
      <c r="N16" s="90" t="s">
        <v>5</v>
      </c>
    </row>
    <row r="17" spans="1:14" ht="43.5" customHeight="1" x14ac:dyDescent="0.2">
      <c r="A17" s="82">
        <v>7</v>
      </c>
      <c r="B17" s="83" t="s">
        <v>6</v>
      </c>
      <c r="C17" s="45">
        <f t="shared" si="4"/>
        <v>1000000</v>
      </c>
      <c r="D17" s="84">
        <v>0</v>
      </c>
      <c r="E17" s="91">
        <f>1476000-476000</f>
        <v>1000000</v>
      </c>
      <c r="F17" s="86" t="s">
        <v>416</v>
      </c>
      <c r="G17" s="87" t="s">
        <v>281</v>
      </c>
      <c r="H17" s="26" t="s">
        <v>299</v>
      </c>
      <c r="I17" s="84">
        <v>1000000</v>
      </c>
      <c r="J17" s="88">
        <f t="shared" si="3"/>
        <v>0</v>
      </c>
      <c r="K17" s="89">
        <v>1000000</v>
      </c>
      <c r="L17" s="89">
        <v>0</v>
      </c>
      <c r="M17" s="89">
        <v>100</v>
      </c>
      <c r="N17" s="90" t="s">
        <v>7</v>
      </c>
    </row>
    <row r="18" spans="1:14" ht="39.75" customHeight="1" x14ac:dyDescent="0.2">
      <c r="A18" s="82">
        <v>8</v>
      </c>
      <c r="B18" s="83" t="s">
        <v>239</v>
      </c>
      <c r="C18" s="45">
        <f t="shared" si="4"/>
        <v>3470000</v>
      </c>
      <c r="D18" s="84">
        <v>0</v>
      </c>
      <c r="E18" s="91">
        <f>3527000-57000</f>
        <v>3470000</v>
      </c>
      <c r="F18" s="86" t="s">
        <v>361</v>
      </c>
      <c r="G18" s="87" t="s">
        <v>203</v>
      </c>
      <c r="H18" s="26" t="s">
        <v>317</v>
      </c>
      <c r="I18" s="84">
        <v>3470000</v>
      </c>
      <c r="J18" s="88">
        <f t="shared" si="3"/>
        <v>0</v>
      </c>
      <c r="K18" s="89">
        <v>3470000</v>
      </c>
      <c r="L18" s="89">
        <f>I18-K18</f>
        <v>0</v>
      </c>
      <c r="M18" s="89">
        <f t="shared" si="5"/>
        <v>100</v>
      </c>
      <c r="N18" s="90" t="s">
        <v>7</v>
      </c>
    </row>
    <row r="19" spans="1:14" ht="57.75" customHeight="1" x14ac:dyDescent="0.2">
      <c r="A19" s="82">
        <v>9</v>
      </c>
      <c r="B19" s="83" t="s">
        <v>240</v>
      </c>
      <c r="C19" s="45">
        <f t="shared" si="4"/>
        <v>2729900</v>
      </c>
      <c r="D19" s="84">
        <v>0</v>
      </c>
      <c r="E19" s="85">
        <v>2729900</v>
      </c>
      <c r="F19" s="86" t="s">
        <v>361</v>
      </c>
      <c r="G19" s="87" t="s">
        <v>281</v>
      </c>
      <c r="H19" s="87" t="s">
        <v>365</v>
      </c>
      <c r="I19" s="84">
        <v>2710000</v>
      </c>
      <c r="J19" s="84">
        <f t="shared" si="3"/>
        <v>19900</v>
      </c>
      <c r="K19" s="89">
        <v>0</v>
      </c>
      <c r="L19" s="89">
        <v>2710000</v>
      </c>
      <c r="M19" s="84">
        <f t="shared" si="5"/>
        <v>0</v>
      </c>
      <c r="N19" s="90" t="s">
        <v>7</v>
      </c>
    </row>
    <row r="20" spans="1:14" ht="57.75" customHeight="1" x14ac:dyDescent="0.2">
      <c r="A20" s="82">
        <v>10</v>
      </c>
      <c r="B20" s="83" t="s">
        <v>241</v>
      </c>
      <c r="C20" s="45">
        <f t="shared" si="4"/>
        <v>2211000</v>
      </c>
      <c r="D20" s="84">
        <v>0</v>
      </c>
      <c r="E20" s="91">
        <v>2211000</v>
      </c>
      <c r="F20" s="86" t="s">
        <v>361</v>
      </c>
      <c r="G20" s="87" t="s">
        <v>203</v>
      </c>
      <c r="H20" s="87" t="s">
        <v>365</v>
      </c>
      <c r="I20" s="84">
        <v>2200000</v>
      </c>
      <c r="J20" s="84">
        <f t="shared" si="3"/>
        <v>11000</v>
      </c>
      <c r="K20" s="89">
        <v>2200000</v>
      </c>
      <c r="L20" s="89">
        <v>0</v>
      </c>
      <c r="M20" s="89">
        <v>100</v>
      </c>
      <c r="N20" s="90" t="s">
        <v>7</v>
      </c>
    </row>
    <row r="21" spans="1:14" ht="42.75" customHeight="1" x14ac:dyDescent="0.2">
      <c r="A21" s="82">
        <v>11</v>
      </c>
      <c r="B21" s="93" t="s">
        <v>8</v>
      </c>
      <c r="C21" s="45">
        <f t="shared" si="4"/>
        <v>2295700</v>
      </c>
      <c r="D21" s="84">
        <v>0</v>
      </c>
      <c r="E21" s="91">
        <v>2295700</v>
      </c>
      <c r="F21" s="86" t="s">
        <v>361</v>
      </c>
      <c r="G21" s="87" t="s">
        <v>203</v>
      </c>
      <c r="H21" s="87" t="s">
        <v>365</v>
      </c>
      <c r="I21" s="84">
        <v>2290000</v>
      </c>
      <c r="J21" s="84">
        <f t="shared" si="3"/>
        <v>5700</v>
      </c>
      <c r="K21" s="89">
        <v>0</v>
      </c>
      <c r="L21" s="89">
        <v>2290000</v>
      </c>
      <c r="M21" s="84">
        <f t="shared" si="5"/>
        <v>0</v>
      </c>
      <c r="N21" s="90" t="s">
        <v>7</v>
      </c>
    </row>
    <row r="22" spans="1:14" ht="42.75" customHeight="1" x14ac:dyDescent="0.2">
      <c r="A22" s="82">
        <v>12</v>
      </c>
      <c r="B22" s="93" t="s">
        <v>242</v>
      </c>
      <c r="C22" s="45">
        <f t="shared" si="4"/>
        <v>1686000</v>
      </c>
      <c r="D22" s="84">
        <v>0</v>
      </c>
      <c r="E22" s="91">
        <v>1686000</v>
      </c>
      <c r="F22" s="86" t="s">
        <v>361</v>
      </c>
      <c r="G22" s="87" t="s">
        <v>203</v>
      </c>
      <c r="H22" s="87" t="s">
        <v>365</v>
      </c>
      <c r="I22" s="84">
        <v>1290000</v>
      </c>
      <c r="J22" s="84">
        <f t="shared" si="3"/>
        <v>396000</v>
      </c>
      <c r="K22" s="89">
        <v>1290000</v>
      </c>
      <c r="L22" s="89">
        <v>0</v>
      </c>
      <c r="M22" s="89">
        <v>100</v>
      </c>
      <c r="N22" s="90" t="s">
        <v>7</v>
      </c>
    </row>
    <row r="23" spans="1:14" ht="39" customHeight="1" x14ac:dyDescent="0.2">
      <c r="A23" s="82">
        <v>13</v>
      </c>
      <c r="B23" s="93" t="s">
        <v>115</v>
      </c>
      <c r="C23" s="45">
        <f t="shared" si="4"/>
        <v>3150000</v>
      </c>
      <c r="D23" s="84">
        <v>0</v>
      </c>
      <c r="E23" s="91">
        <f>3685800-535800</f>
        <v>3150000</v>
      </c>
      <c r="F23" s="86" t="s">
        <v>361</v>
      </c>
      <c r="G23" s="87" t="s">
        <v>203</v>
      </c>
      <c r="H23" s="87" t="s">
        <v>318</v>
      </c>
      <c r="I23" s="84">
        <v>3150000</v>
      </c>
      <c r="J23" s="84">
        <f t="shared" ref="J23:J30" si="6">E23-I23</f>
        <v>0</v>
      </c>
      <c r="K23" s="89">
        <v>0</v>
      </c>
      <c r="L23" s="89">
        <f>I23-K23</f>
        <v>3150000</v>
      </c>
      <c r="M23" s="84">
        <f t="shared" si="5"/>
        <v>0</v>
      </c>
      <c r="N23" s="26" t="s">
        <v>9</v>
      </c>
    </row>
    <row r="24" spans="1:14" ht="59.25" customHeight="1" x14ac:dyDescent="0.2">
      <c r="A24" s="82">
        <v>14</v>
      </c>
      <c r="B24" s="93" t="s">
        <v>243</v>
      </c>
      <c r="C24" s="45">
        <f t="shared" si="4"/>
        <v>2250000</v>
      </c>
      <c r="D24" s="84">
        <v>0</v>
      </c>
      <c r="E24" s="91">
        <f>2945500-695500</f>
        <v>2250000</v>
      </c>
      <c r="F24" s="86" t="s">
        <v>361</v>
      </c>
      <c r="G24" s="87" t="s">
        <v>203</v>
      </c>
      <c r="H24" s="87" t="s">
        <v>364</v>
      </c>
      <c r="I24" s="84">
        <v>2250000</v>
      </c>
      <c r="J24" s="84">
        <f t="shared" si="6"/>
        <v>0</v>
      </c>
      <c r="K24" s="89">
        <v>0</v>
      </c>
      <c r="L24" s="89">
        <f>I24-K24</f>
        <v>2250000</v>
      </c>
      <c r="M24" s="84">
        <f t="shared" si="5"/>
        <v>0</v>
      </c>
      <c r="N24" s="90" t="s">
        <v>9</v>
      </c>
    </row>
    <row r="25" spans="1:14" ht="42.75" customHeight="1" x14ac:dyDescent="0.2">
      <c r="A25" s="82">
        <v>15</v>
      </c>
      <c r="B25" s="93" t="s">
        <v>244</v>
      </c>
      <c r="C25" s="45">
        <f t="shared" si="4"/>
        <v>1900000</v>
      </c>
      <c r="D25" s="84">
        <v>0</v>
      </c>
      <c r="E25" s="91">
        <f>2000000-100000</f>
        <v>1900000</v>
      </c>
      <c r="F25" s="86" t="s">
        <v>416</v>
      </c>
      <c r="G25" s="87" t="s">
        <v>203</v>
      </c>
      <c r="H25" s="87" t="s">
        <v>319</v>
      </c>
      <c r="I25" s="84">
        <v>1900000</v>
      </c>
      <c r="J25" s="84">
        <f t="shared" si="6"/>
        <v>0</v>
      </c>
      <c r="K25" s="89">
        <v>1900000</v>
      </c>
      <c r="L25" s="89">
        <v>0</v>
      </c>
      <c r="M25" s="89">
        <v>100</v>
      </c>
      <c r="N25" s="90" t="s">
        <v>9</v>
      </c>
    </row>
    <row r="26" spans="1:14" ht="39" customHeight="1" x14ac:dyDescent="0.2">
      <c r="A26" s="82">
        <v>16</v>
      </c>
      <c r="B26" s="93" t="s">
        <v>245</v>
      </c>
      <c r="C26" s="45">
        <f t="shared" si="4"/>
        <v>2890000</v>
      </c>
      <c r="D26" s="84">
        <v>0</v>
      </c>
      <c r="E26" s="91">
        <f>3400000-510000</f>
        <v>2890000</v>
      </c>
      <c r="F26" s="86" t="s">
        <v>361</v>
      </c>
      <c r="G26" s="86" t="s">
        <v>282</v>
      </c>
      <c r="H26" s="87" t="s">
        <v>320</v>
      </c>
      <c r="I26" s="84">
        <v>2890000</v>
      </c>
      <c r="J26" s="84">
        <f t="shared" si="6"/>
        <v>0</v>
      </c>
      <c r="K26" s="89">
        <v>2890000</v>
      </c>
      <c r="L26" s="89">
        <f>I26-K26</f>
        <v>0</v>
      </c>
      <c r="M26" s="89">
        <f t="shared" si="5"/>
        <v>100</v>
      </c>
      <c r="N26" s="90" t="s">
        <v>9</v>
      </c>
    </row>
    <row r="27" spans="1:14" ht="43.5" customHeight="1" x14ac:dyDescent="0.2">
      <c r="A27" s="82">
        <v>17</v>
      </c>
      <c r="B27" s="93" t="s">
        <v>246</v>
      </c>
      <c r="C27" s="45">
        <f t="shared" si="4"/>
        <v>3090000</v>
      </c>
      <c r="D27" s="84">
        <v>0</v>
      </c>
      <c r="E27" s="91">
        <v>3090000</v>
      </c>
      <c r="F27" s="86" t="s">
        <v>361</v>
      </c>
      <c r="G27" s="87" t="s">
        <v>366</v>
      </c>
      <c r="H27" s="87" t="s">
        <v>367</v>
      </c>
      <c r="I27" s="84">
        <v>3070000</v>
      </c>
      <c r="J27" s="84">
        <f t="shared" si="6"/>
        <v>20000</v>
      </c>
      <c r="K27" s="89">
        <v>0</v>
      </c>
      <c r="L27" s="89">
        <v>3070000</v>
      </c>
      <c r="M27" s="84">
        <f t="shared" si="5"/>
        <v>0</v>
      </c>
      <c r="N27" s="90" t="s">
        <v>10</v>
      </c>
    </row>
    <row r="28" spans="1:14" ht="39" customHeight="1" x14ac:dyDescent="0.2">
      <c r="A28" s="82">
        <v>18</v>
      </c>
      <c r="B28" s="93" t="s">
        <v>247</v>
      </c>
      <c r="C28" s="45">
        <f t="shared" si="4"/>
        <v>3296000</v>
      </c>
      <c r="D28" s="84">
        <v>0</v>
      </c>
      <c r="E28" s="91">
        <v>3296000</v>
      </c>
      <c r="F28" s="86" t="s">
        <v>361</v>
      </c>
      <c r="G28" s="87" t="s">
        <v>366</v>
      </c>
      <c r="H28" s="87" t="s">
        <v>367</v>
      </c>
      <c r="I28" s="84">
        <v>3270000</v>
      </c>
      <c r="J28" s="84">
        <f t="shared" si="6"/>
        <v>26000</v>
      </c>
      <c r="K28" s="89">
        <v>0</v>
      </c>
      <c r="L28" s="89">
        <v>3270000</v>
      </c>
      <c r="M28" s="84">
        <f t="shared" si="5"/>
        <v>0</v>
      </c>
      <c r="N28" s="90" t="s">
        <v>10</v>
      </c>
    </row>
    <row r="29" spans="1:14" ht="41.25" customHeight="1" x14ac:dyDescent="0.2">
      <c r="A29" s="82">
        <v>19</v>
      </c>
      <c r="B29" s="93" t="s">
        <v>248</v>
      </c>
      <c r="C29" s="45">
        <f t="shared" si="4"/>
        <v>8775000</v>
      </c>
      <c r="D29" s="84">
        <v>0</v>
      </c>
      <c r="E29" s="91">
        <v>8775000</v>
      </c>
      <c r="F29" s="86" t="s">
        <v>361</v>
      </c>
      <c r="G29" s="87" t="s">
        <v>366</v>
      </c>
      <c r="H29" s="87" t="s">
        <v>367</v>
      </c>
      <c r="I29" s="84">
        <v>8708000</v>
      </c>
      <c r="J29" s="84">
        <f t="shared" si="6"/>
        <v>67000</v>
      </c>
      <c r="K29" s="89">
        <v>0</v>
      </c>
      <c r="L29" s="89">
        <v>8708000</v>
      </c>
      <c r="M29" s="84">
        <f t="shared" si="5"/>
        <v>0</v>
      </c>
      <c r="N29" s="90" t="s">
        <v>10</v>
      </c>
    </row>
    <row r="30" spans="1:14" ht="43.5" customHeight="1" x14ac:dyDescent="0.2">
      <c r="A30" s="82">
        <v>20</v>
      </c>
      <c r="B30" s="93" t="s">
        <v>249</v>
      </c>
      <c r="C30" s="45">
        <f t="shared" si="4"/>
        <v>5150000</v>
      </c>
      <c r="D30" s="84">
        <v>0</v>
      </c>
      <c r="E30" s="91">
        <v>5150000</v>
      </c>
      <c r="F30" s="86" t="s">
        <v>361</v>
      </c>
      <c r="G30" s="87" t="s">
        <v>366</v>
      </c>
      <c r="H30" s="87" t="s">
        <v>367</v>
      </c>
      <c r="I30" s="84">
        <v>5130000</v>
      </c>
      <c r="J30" s="84">
        <f t="shared" si="6"/>
        <v>20000</v>
      </c>
      <c r="K30" s="89">
        <v>0</v>
      </c>
      <c r="L30" s="89">
        <v>5130000</v>
      </c>
      <c r="M30" s="84">
        <f t="shared" si="5"/>
        <v>0</v>
      </c>
      <c r="N30" s="90" t="s">
        <v>10</v>
      </c>
    </row>
    <row r="31" spans="1:14" ht="21" x14ac:dyDescent="0.2">
      <c r="A31" s="223" t="s">
        <v>207</v>
      </c>
      <c r="B31" s="223"/>
      <c r="C31" s="45">
        <f>E31</f>
        <v>3933000</v>
      </c>
      <c r="D31" s="94">
        <v>0</v>
      </c>
      <c r="E31" s="94">
        <f>E32+E33</f>
        <v>3933000</v>
      </c>
      <c r="F31" s="95"/>
      <c r="G31" s="115"/>
      <c r="H31" s="115"/>
      <c r="I31" s="94">
        <f>I32+I33</f>
        <v>2723000</v>
      </c>
      <c r="J31" s="94">
        <f>J32+J33</f>
        <v>1210000</v>
      </c>
      <c r="K31" s="89">
        <f>K32+K33</f>
        <v>0</v>
      </c>
      <c r="L31" s="89">
        <f>L32+L33</f>
        <v>2723000</v>
      </c>
      <c r="M31" s="94">
        <f>K31*100/E31</f>
        <v>0</v>
      </c>
      <c r="N31" s="26"/>
    </row>
    <row r="32" spans="1:14" ht="51.75" x14ac:dyDescent="0.2">
      <c r="A32" s="82">
        <v>21</v>
      </c>
      <c r="B32" s="83" t="s">
        <v>250</v>
      </c>
      <c r="C32" s="45">
        <f>E32</f>
        <v>1210000</v>
      </c>
      <c r="D32" s="84">
        <v>0</v>
      </c>
      <c r="E32" s="91">
        <v>1210000</v>
      </c>
      <c r="F32" s="92" t="s">
        <v>368</v>
      </c>
      <c r="G32" s="87"/>
      <c r="H32" s="87"/>
      <c r="I32" s="84">
        <v>0</v>
      </c>
      <c r="J32" s="88">
        <v>1210000</v>
      </c>
      <c r="K32" s="89">
        <v>0</v>
      </c>
      <c r="L32" s="89">
        <v>0</v>
      </c>
      <c r="M32" s="89">
        <v>100</v>
      </c>
      <c r="N32" s="90" t="s">
        <v>7</v>
      </c>
    </row>
    <row r="33" spans="1:16" ht="42.75" customHeight="1" x14ac:dyDescent="0.2">
      <c r="A33" s="82">
        <v>22</v>
      </c>
      <c r="B33" s="93" t="s">
        <v>251</v>
      </c>
      <c r="C33" s="45">
        <f>E33</f>
        <v>2723000</v>
      </c>
      <c r="D33" s="84">
        <v>0</v>
      </c>
      <c r="E33" s="91">
        <v>2723000</v>
      </c>
      <c r="F33" s="86" t="s">
        <v>361</v>
      </c>
      <c r="G33" s="87" t="s">
        <v>321</v>
      </c>
      <c r="H33" s="87" t="s">
        <v>324</v>
      </c>
      <c r="I33" s="84">
        <v>2723000</v>
      </c>
      <c r="J33" s="88">
        <f>E33-I33</f>
        <v>0</v>
      </c>
      <c r="K33" s="89">
        <v>0</v>
      </c>
      <c r="L33" s="89">
        <f>I33-K33</f>
        <v>2723000</v>
      </c>
      <c r="M33" s="84">
        <f>K33*100/E33</f>
        <v>0</v>
      </c>
      <c r="N33" s="90" t="s">
        <v>7</v>
      </c>
    </row>
    <row r="34" spans="1:16" ht="21" x14ac:dyDescent="0.2">
      <c r="A34" s="223" t="s">
        <v>208</v>
      </c>
      <c r="B34" s="223"/>
      <c r="C34" s="45">
        <f>E34</f>
        <v>7660700</v>
      </c>
      <c r="D34" s="45">
        <f t="shared" ref="D34:E34" si="7">D35+D36+D37+D38+D39</f>
        <v>0</v>
      </c>
      <c r="E34" s="45">
        <f t="shared" si="7"/>
        <v>7660700</v>
      </c>
      <c r="F34" s="26"/>
      <c r="G34" s="115"/>
      <c r="H34" s="115"/>
      <c r="I34" s="45">
        <f t="shared" ref="I34:J34" si="8">I35+I36+I37+I38+I39</f>
        <v>7660700</v>
      </c>
      <c r="J34" s="45">
        <f t="shared" si="8"/>
        <v>0</v>
      </c>
      <c r="K34" s="89">
        <f>K35+K36+K37+K38+K39</f>
        <v>0</v>
      </c>
      <c r="L34" s="89">
        <f>L35+L36+L37+L38+L39</f>
        <v>7660700</v>
      </c>
      <c r="M34" s="94">
        <f>K34*100/E34</f>
        <v>0</v>
      </c>
      <c r="N34" s="96"/>
    </row>
    <row r="35" spans="1:16" ht="42" customHeight="1" x14ac:dyDescent="0.2">
      <c r="A35" s="82">
        <v>23</v>
      </c>
      <c r="B35" s="93" t="s">
        <v>252</v>
      </c>
      <c r="C35" s="45">
        <f>E35</f>
        <v>990000</v>
      </c>
      <c r="D35" s="84">
        <v>0</v>
      </c>
      <c r="E35" s="85">
        <f>1135000-145000</f>
        <v>990000</v>
      </c>
      <c r="F35" s="86" t="s">
        <v>361</v>
      </c>
      <c r="G35" s="87" t="s">
        <v>284</v>
      </c>
      <c r="H35" s="87" t="s">
        <v>336</v>
      </c>
      <c r="I35" s="84">
        <v>990000</v>
      </c>
      <c r="J35" s="88">
        <f>E35-I35</f>
        <v>0</v>
      </c>
      <c r="K35" s="89">
        <v>0</v>
      </c>
      <c r="L35" s="89">
        <f>I35-K35</f>
        <v>990000</v>
      </c>
      <c r="M35" s="84">
        <f>K35*100/E35</f>
        <v>0</v>
      </c>
      <c r="N35" s="90" t="s">
        <v>3</v>
      </c>
    </row>
    <row r="36" spans="1:16" ht="54.75" customHeight="1" x14ac:dyDescent="0.2">
      <c r="A36" s="82">
        <v>24</v>
      </c>
      <c r="B36" s="93" t="s">
        <v>11</v>
      </c>
      <c r="C36" s="45">
        <f t="shared" ref="C36:C39" si="9">E36</f>
        <v>1662000</v>
      </c>
      <c r="D36" s="84">
        <v>0</v>
      </c>
      <c r="E36" s="91">
        <f>1665000-3000</f>
        <v>1662000</v>
      </c>
      <c r="F36" s="86" t="s">
        <v>361</v>
      </c>
      <c r="G36" s="87" t="s">
        <v>285</v>
      </c>
      <c r="H36" s="87" t="s">
        <v>323</v>
      </c>
      <c r="I36" s="84">
        <v>1662000</v>
      </c>
      <c r="J36" s="84">
        <f>E36-I36</f>
        <v>0</v>
      </c>
      <c r="K36" s="89">
        <v>0</v>
      </c>
      <c r="L36" s="89">
        <f>I36-K36</f>
        <v>1662000</v>
      </c>
      <c r="M36" s="84">
        <f t="shared" ref="M36:M39" si="10">K36*100/E36</f>
        <v>0</v>
      </c>
      <c r="N36" s="90" t="s">
        <v>5</v>
      </c>
    </row>
    <row r="37" spans="1:16" ht="56.25" customHeight="1" x14ac:dyDescent="0.2">
      <c r="A37" s="82">
        <v>25</v>
      </c>
      <c r="B37" s="93" t="s">
        <v>335</v>
      </c>
      <c r="C37" s="45">
        <f t="shared" si="9"/>
        <v>1673700</v>
      </c>
      <c r="D37" s="84">
        <v>0</v>
      </c>
      <c r="E37" s="85">
        <f>1788400-114700</f>
        <v>1673700</v>
      </c>
      <c r="F37" s="86" t="s">
        <v>361</v>
      </c>
      <c r="G37" s="87" t="s">
        <v>285</v>
      </c>
      <c r="H37" s="87" t="s">
        <v>325</v>
      </c>
      <c r="I37" s="84">
        <v>1673700</v>
      </c>
      <c r="J37" s="88">
        <f>E37-I37</f>
        <v>0</v>
      </c>
      <c r="K37" s="89">
        <v>0</v>
      </c>
      <c r="L37" s="89">
        <f>I37-K37</f>
        <v>1673700</v>
      </c>
      <c r="M37" s="84">
        <f t="shared" si="10"/>
        <v>0</v>
      </c>
      <c r="N37" s="90" t="s">
        <v>7</v>
      </c>
    </row>
    <row r="38" spans="1:16" ht="37.5" customHeight="1" x14ac:dyDescent="0.2">
      <c r="A38" s="82">
        <v>26</v>
      </c>
      <c r="B38" s="93" t="s">
        <v>253</v>
      </c>
      <c r="C38" s="45">
        <f t="shared" si="9"/>
        <v>930000</v>
      </c>
      <c r="D38" s="84">
        <v>0</v>
      </c>
      <c r="E38" s="91">
        <f>985000-55000</f>
        <v>930000</v>
      </c>
      <c r="F38" s="86" t="s">
        <v>361</v>
      </c>
      <c r="G38" s="86" t="s">
        <v>283</v>
      </c>
      <c r="H38" s="87" t="s">
        <v>369</v>
      </c>
      <c r="I38" s="84">
        <v>930000</v>
      </c>
      <c r="J38" s="84">
        <f>E38-I38</f>
        <v>0</v>
      </c>
      <c r="K38" s="89">
        <v>0</v>
      </c>
      <c r="L38" s="89">
        <f>I38-K38</f>
        <v>930000</v>
      </c>
      <c r="M38" s="84">
        <f t="shared" si="10"/>
        <v>0</v>
      </c>
      <c r="N38" s="90" t="s">
        <v>9</v>
      </c>
    </row>
    <row r="39" spans="1:16" ht="56.25" x14ac:dyDescent="0.2">
      <c r="A39" s="82">
        <v>27</v>
      </c>
      <c r="B39" s="93" t="s">
        <v>343</v>
      </c>
      <c r="C39" s="45">
        <f t="shared" si="9"/>
        <v>2405000</v>
      </c>
      <c r="D39" s="84">
        <v>0</v>
      </c>
      <c r="E39" s="97">
        <f>2701800-296800</f>
        <v>2405000</v>
      </c>
      <c r="F39" s="86" t="s">
        <v>361</v>
      </c>
      <c r="G39" s="87" t="s">
        <v>322</v>
      </c>
      <c r="H39" s="87" t="s">
        <v>370</v>
      </c>
      <c r="I39" s="84">
        <v>2405000</v>
      </c>
      <c r="J39" s="84">
        <f>E39-I39</f>
        <v>0</v>
      </c>
      <c r="K39" s="89">
        <v>0</v>
      </c>
      <c r="L39" s="89">
        <f>I39-K39</f>
        <v>2405000</v>
      </c>
      <c r="M39" s="84">
        <f t="shared" si="10"/>
        <v>0</v>
      </c>
      <c r="N39" s="90" t="s">
        <v>9</v>
      </c>
    </row>
    <row r="40" spans="1:16" ht="26.25" customHeight="1" x14ac:dyDescent="0.2">
      <c r="A40" s="221" t="s">
        <v>209</v>
      </c>
      <c r="B40" s="222"/>
      <c r="C40" s="73">
        <f>D40+E40</f>
        <v>17105000</v>
      </c>
      <c r="D40" s="73">
        <f t="shared" ref="D40:E40" si="11">D41+D58+D75</f>
        <v>12605000</v>
      </c>
      <c r="E40" s="73">
        <f t="shared" si="11"/>
        <v>4500000</v>
      </c>
      <c r="F40" s="26"/>
      <c r="G40" s="163"/>
      <c r="H40" s="163"/>
      <c r="I40" s="73">
        <f t="shared" ref="I40:J40" si="12">I41+I58+I75</f>
        <v>4300000</v>
      </c>
      <c r="J40" s="73">
        <f t="shared" si="12"/>
        <v>114000</v>
      </c>
      <c r="K40" s="98">
        <f>K41+K58+K75</f>
        <v>2612324.42</v>
      </c>
      <c r="L40" s="98">
        <f>L41+L58+L75</f>
        <v>14378675.58</v>
      </c>
      <c r="M40" s="98">
        <f t="shared" ref="M40:M59" si="13">K40*100/C40</f>
        <v>15.272285413621749</v>
      </c>
      <c r="N40" s="99"/>
    </row>
    <row r="41" spans="1:16" ht="22.5" customHeight="1" x14ac:dyDescent="0.2">
      <c r="A41" s="224" t="s">
        <v>210</v>
      </c>
      <c r="B41" s="222"/>
      <c r="C41" s="73">
        <f>D41+E41</f>
        <v>5888400</v>
      </c>
      <c r="D41" s="73">
        <f t="shared" ref="D41:E41" si="14">D42+D47+D54</f>
        <v>3750400</v>
      </c>
      <c r="E41" s="73">
        <f t="shared" si="14"/>
        <v>2138000</v>
      </c>
      <c r="F41" s="26"/>
      <c r="G41" s="164"/>
      <c r="H41" s="164"/>
      <c r="I41" s="73">
        <f t="shared" ref="I41:J41" si="15">I42+I47+I54</f>
        <v>2088000</v>
      </c>
      <c r="J41" s="73">
        <f t="shared" si="15"/>
        <v>50000</v>
      </c>
      <c r="K41" s="75">
        <f>K42+K47+K54</f>
        <v>1212224.42</v>
      </c>
      <c r="L41" s="75">
        <f>L42+L47+L54</f>
        <v>4626175.58</v>
      </c>
      <c r="M41" s="75">
        <f t="shared" si="13"/>
        <v>20.586652061680592</v>
      </c>
      <c r="N41" s="100"/>
    </row>
    <row r="42" spans="1:16" ht="57.75" customHeight="1" x14ac:dyDescent="0.2">
      <c r="A42" s="5">
        <v>28</v>
      </c>
      <c r="B42" s="101" t="s">
        <v>306</v>
      </c>
      <c r="C42" s="45">
        <f>D42+E42</f>
        <v>1225000</v>
      </c>
      <c r="D42" s="102">
        <f>D43</f>
        <v>1116000</v>
      </c>
      <c r="E42" s="102">
        <f>E44</f>
        <v>109000</v>
      </c>
      <c r="F42" s="86" t="s">
        <v>198</v>
      </c>
      <c r="G42" s="87"/>
      <c r="H42" s="87"/>
      <c r="I42" s="84">
        <f>I43+I44</f>
        <v>109000</v>
      </c>
      <c r="J42" s="84">
        <f>J43+J44</f>
        <v>0</v>
      </c>
      <c r="K42" s="89">
        <f>K43+K44</f>
        <v>608440</v>
      </c>
      <c r="L42" s="89">
        <f>L43+L44</f>
        <v>616560</v>
      </c>
      <c r="M42" s="89">
        <f t="shared" si="13"/>
        <v>49.668571428571425</v>
      </c>
      <c r="N42" s="90" t="s">
        <v>12</v>
      </c>
      <c r="P42" s="185">
        <v>178308300</v>
      </c>
    </row>
    <row r="43" spans="1:16" ht="22.5" customHeight="1" x14ac:dyDescent="0.2">
      <c r="A43" s="5"/>
      <c r="B43" s="83" t="s">
        <v>83</v>
      </c>
      <c r="C43" s="45">
        <f>D43</f>
        <v>1116000</v>
      </c>
      <c r="D43" s="102">
        <v>1116000</v>
      </c>
      <c r="E43" s="102"/>
      <c r="F43" s="86"/>
      <c r="G43" s="87"/>
      <c r="H43" s="87"/>
      <c r="I43" s="84"/>
      <c r="J43" s="84"/>
      <c r="K43" s="89">
        <f>87200+100000+312240</f>
        <v>499440</v>
      </c>
      <c r="L43" s="89">
        <f>D43-K43</f>
        <v>616560</v>
      </c>
      <c r="M43" s="89">
        <f>K43*100/D43</f>
        <v>44.752688172043008</v>
      </c>
      <c r="N43" s="90"/>
    </row>
    <row r="44" spans="1:16" ht="22.5" customHeight="1" x14ac:dyDescent="0.2">
      <c r="A44" s="5"/>
      <c r="B44" s="83" t="s">
        <v>263</v>
      </c>
      <c r="C44" s="45">
        <f>E44</f>
        <v>109000</v>
      </c>
      <c r="D44" s="102"/>
      <c r="E44" s="102">
        <f>E45+E46</f>
        <v>109000</v>
      </c>
      <c r="F44" s="86"/>
      <c r="G44" s="87"/>
      <c r="H44" s="87"/>
      <c r="I44" s="84">
        <f>I45+I46</f>
        <v>109000</v>
      </c>
      <c r="J44" s="84">
        <f>J45+J46</f>
        <v>0</v>
      </c>
      <c r="K44" s="89">
        <f>K45+K46</f>
        <v>109000</v>
      </c>
      <c r="L44" s="89">
        <f>E44-K44</f>
        <v>0</v>
      </c>
      <c r="M44" s="89">
        <f>K44*100/E44</f>
        <v>100</v>
      </c>
      <c r="N44" s="90"/>
    </row>
    <row r="45" spans="1:16" ht="36.75" customHeight="1" x14ac:dyDescent="0.2">
      <c r="A45" s="5"/>
      <c r="B45" s="83" t="s">
        <v>270</v>
      </c>
      <c r="C45" s="45">
        <f>E45</f>
        <v>80000</v>
      </c>
      <c r="D45" s="102"/>
      <c r="E45" s="102">
        <v>80000</v>
      </c>
      <c r="F45" s="86" t="s">
        <v>371</v>
      </c>
      <c r="G45" s="87"/>
      <c r="H45" s="87"/>
      <c r="I45" s="84">
        <v>80000</v>
      </c>
      <c r="J45" s="84">
        <f>E45-I45</f>
        <v>0</v>
      </c>
      <c r="K45" s="89">
        <v>80000</v>
      </c>
      <c r="L45" s="89">
        <f>E45-K45</f>
        <v>0</v>
      </c>
      <c r="M45" s="89">
        <f t="shared" ref="M45:M46" si="16">K45*100/E45</f>
        <v>100</v>
      </c>
      <c r="N45" s="90" t="s">
        <v>267</v>
      </c>
      <c r="P45" s="1">
        <v>80000</v>
      </c>
    </row>
    <row r="46" spans="1:16" ht="36.75" customHeight="1" x14ac:dyDescent="0.2">
      <c r="A46" s="5"/>
      <c r="B46" s="83" t="s">
        <v>271</v>
      </c>
      <c r="C46" s="45">
        <f>E46</f>
        <v>29000</v>
      </c>
      <c r="D46" s="102"/>
      <c r="E46" s="102">
        <v>29000</v>
      </c>
      <c r="F46" s="86" t="s">
        <v>371</v>
      </c>
      <c r="G46" s="87"/>
      <c r="H46" s="87"/>
      <c r="I46" s="84">
        <v>29000</v>
      </c>
      <c r="J46" s="84">
        <f>E46-I46</f>
        <v>0</v>
      </c>
      <c r="K46" s="89">
        <v>29000</v>
      </c>
      <c r="L46" s="89">
        <f>E46-K46</f>
        <v>0</v>
      </c>
      <c r="M46" s="89">
        <f t="shared" si="16"/>
        <v>100</v>
      </c>
      <c r="N46" s="90" t="s">
        <v>269</v>
      </c>
      <c r="P46" s="1">
        <v>29000</v>
      </c>
    </row>
    <row r="47" spans="1:16" ht="56.25" customHeight="1" x14ac:dyDescent="0.2">
      <c r="A47" s="5">
        <v>29</v>
      </c>
      <c r="B47" s="101" t="s">
        <v>305</v>
      </c>
      <c r="C47" s="73">
        <f t="shared" ref="C47:C81" si="17">D47+E47</f>
        <v>3420400</v>
      </c>
      <c r="D47" s="74">
        <f>D48</f>
        <v>1474400</v>
      </c>
      <c r="E47" s="74">
        <f>E49</f>
        <v>1946000</v>
      </c>
      <c r="F47" s="153" t="s">
        <v>198</v>
      </c>
      <c r="G47" s="165"/>
      <c r="H47" s="165"/>
      <c r="I47" s="74">
        <f>I48+I49</f>
        <v>1896000</v>
      </c>
      <c r="J47" s="74">
        <f>J48+J49</f>
        <v>50000</v>
      </c>
      <c r="K47" s="75">
        <f>K48+K49</f>
        <v>216000</v>
      </c>
      <c r="L47" s="75">
        <f>L48+L49</f>
        <v>3154400</v>
      </c>
      <c r="M47" s="75">
        <f t="shared" si="13"/>
        <v>6.3150508712431295</v>
      </c>
      <c r="N47" s="154" t="s">
        <v>12</v>
      </c>
    </row>
    <row r="48" spans="1:16" ht="21" customHeight="1" x14ac:dyDescent="0.2">
      <c r="A48" s="5"/>
      <c r="B48" s="83" t="s">
        <v>83</v>
      </c>
      <c r="C48" s="45">
        <f>D48</f>
        <v>1474400</v>
      </c>
      <c r="D48" s="84">
        <v>1474400</v>
      </c>
      <c r="E48" s="84"/>
      <c r="F48" s="103"/>
      <c r="G48" s="87"/>
      <c r="H48" s="87"/>
      <c r="I48" s="84">
        <v>0</v>
      </c>
      <c r="J48" s="84">
        <v>0</v>
      </c>
      <c r="K48" s="89">
        <v>0</v>
      </c>
      <c r="L48" s="89">
        <f>D48-K48</f>
        <v>1474400</v>
      </c>
      <c r="M48" s="84">
        <f>K48*100/D48</f>
        <v>0</v>
      </c>
      <c r="N48" s="90"/>
    </row>
    <row r="49" spans="1:16" ht="26.25" customHeight="1" x14ac:dyDescent="0.2">
      <c r="A49" s="5"/>
      <c r="B49" s="83" t="s">
        <v>263</v>
      </c>
      <c r="C49" s="45">
        <f>E49</f>
        <v>1946000</v>
      </c>
      <c r="D49" s="84"/>
      <c r="E49" s="84">
        <f>E50+E51+E52+E53</f>
        <v>1946000</v>
      </c>
      <c r="F49" s="103"/>
      <c r="G49" s="87"/>
      <c r="H49" s="87"/>
      <c r="I49" s="84">
        <f>I50+I51+I52+I53</f>
        <v>1896000</v>
      </c>
      <c r="J49" s="84">
        <f>J50+J51+J52+J53</f>
        <v>50000</v>
      </c>
      <c r="K49" s="89">
        <f>K50+K51+K52+K53</f>
        <v>216000</v>
      </c>
      <c r="L49" s="89">
        <f>L50+L51+L52+L53</f>
        <v>1680000</v>
      </c>
      <c r="M49" s="89">
        <f>K49*100/E49</f>
        <v>11.099691675231243</v>
      </c>
      <c r="N49" s="90"/>
    </row>
    <row r="50" spans="1:16" ht="51.75" x14ac:dyDescent="0.2">
      <c r="A50" s="5"/>
      <c r="B50" s="83" t="s">
        <v>264</v>
      </c>
      <c r="C50" s="45">
        <f>E50</f>
        <v>30000</v>
      </c>
      <c r="D50" s="84"/>
      <c r="E50" s="84">
        <v>30000</v>
      </c>
      <c r="F50" s="86" t="s">
        <v>416</v>
      </c>
      <c r="G50" s="87" t="s">
        <v>352</v>
      </c>
      <c r="H50" s="87" t="s">
        <v>353</v>
      </c>
      <c r="I50" s="84">
        <v>30000</v>
      </c>
      <c r="J50" s="84">
        <f>E50-I50</f>
        <v>0</v>
      </c>
      <c r="K50" s="89">
        <v>30000</v>
      </c>
      <c r="L50" s="89">
        <f>E50-K50</f>
        <v>0</v>
      </c>
      <c r="M50" s="89">
        <f t="shared" ref="M50:M51" si="18">K50*100/E50</f>
        <v>100</v>
      </c>
      <c r="N50" s="90" t="s">
        <v>12</v>
      </c>
    </row>
    <row r="51" spans="1:16" ht="72.75" customHeight="1" x14ac:dyDescent="0.2">
      <c r="A51" s="5"/>
      <c r="B51" s="83" t="s">
        <v>265</v>
      </c>
      <c r="C51" s="45">
        <f t="shared" ref="C51:C53" si="19">E51</f>
        <v>1680000</v>
      </c>
      <c r="D51" s="84"/>
      <c r="E51" s="84">
        <f>1700000-20000</f>
        <v>1680000</v>
      </c>
      <c r="F51" s="103" t="s">
        <v>361</v>
      </c>
      <c r="G51" s="87" t="s">
        <v>296</v>
      </c>
      <c r="H51" s="87" t="s">
        <v>354</v>
      </c>
      <c r="I51" s="84">
        <v>1680000</v>
      </c>
      <c r="J51" s="88">
        <f>E51-I51</f>
        <v>0</v>
      </c>
      <c r="K51" s="89"/>
      <c r="L51" s="89">
        <f>I51-K51</f>
        <v>1680000</v>
      </c>
      <c r="M51" s="89">
        <f t="shared" si="18"/>
        <v>0</v>
      </c>
      <c r="N51" s="90" t="s">
        <v>12</v>
      </c>
    </row>
    <row r="52" spans="1:16" ht="69" x14ac:dyDescent="0.2">
      <c r="A52" s="5"/>
      <c r="B52" s="83" t="s">
        <v>266</v>
      </c>
      <c r="C52" s="45">
        <f t="shared" si="19"/>
        <v>170000</v>
      </c>
      <c r="D52" s="84"/>
      <c r="E52" s="84">
        <v>170000</v>
      </c>
      <c r="F52" s="86" t="s">
        <v>416</v>
      </c>
      <c r="G52" s="87" t="s">
        <v>358</v>
      </c>
      <c r="H52" s="87" t="s">
        <v>357</v>
      </c>
      <c r="I52" s="84">
        <v>120000</v>
      </c>
      <c r="J52" s="84">
        <f>E52-I52</f>
        <v>50000</v>
      </c>
      <c r="K52" s="89">
        <v>120000</v>
      </c>
      <c r="L52" s="89">
        <v>0</v>
      </c>
      <c r="M52" s="89">
        <v>100</v>
      </c>
      <c r="N52" s="90" t="s">
        <v>267</v>
      </c>
      <c r="P52" s="1">
        <v>170000</v>
      </c>
    </row>
    <row r="53" spans="1:16" ht="34.5" x14ac:dyDescent="0.2">
      <c r="A53" s="5"/>
      <c r="B53" s="83" t="s">
        <v>268</v>
      </c>
      <c r="C53" s="45">
        <f t="shared" si="19"/>
        <v>66000</v>
      </c>
      <c r="D53" s="84"/>
      <c r="E53" s="84">
        <v>66000</v>
      </c>
      <c r="F53" s="86" t="s">
        <v>416</v>
      </c>
      <c r="G53" s="151" t="s">
        <v>359</v>
      </c>
      <c r="H53" s="87" t="s">
        <v>360</v>
      </c>
      <c r="I53" s="84">
        <v>66000</v>
      </c>
      <c r="J53" s="84">
        <f>E53-I53</f>
        <v>0</v>
      </c>
      <c r="K53" s="89">
        <v>66000</v>
      </c>
      <c r="L53" s="89">
        <f t="shared" ref="L53" si="20">E53-K53</f>
        <v>0</v>
      </c>
      <c r="M53" s="89">
        <v>100</v>
      </c>
      <c r="N53" s="90" t="s">
        <v>269</v>
      </c>
      <c r="P53" s="1">
        <v>66000</v>
      </c>
    </row>
    <row r="54" spans="1:16" ht="60" customHeight="1" x14ac:dyDescent="0.2">
      <c r="A54" s="5">
        <v>30</v>
      </c>
      <c r="B54" s="101" t="s">
        <v>304</v>
      </c>
      <c r="C54" s="73">
        <f t="shared" si="17"/>
        <v>1243000</v>
      </c>
      <c r="D54" s="155">
        <f>D55</f>
        <v>1160000</v>
      </c>
      <c r="E54" s="80">
        <f>E56</f>
        <v>83000</v>
      </c>
      <c r="F54" s="153" t="s">
        <v>198</v>
      </c>
      <c r="G54" s="165"/>
      <c r="H54" s="165"/>
      <c r="I54" s="74">
        <f>I55+I56</f>
        <v>83000</v>
      </c>
      <c r="J54" s="74">
        <f>J55+J56</f>
        <v>0</v>
      </c>
      <c r="K54" s="75">
        <f>K55+K56</f>
        <v>387784.42</v>
      </c>
      <c r="L54" s="75">
        <f>L55+L56</f>
        <v>855215.58000000007</v>
      </c>
      <c r="M54" s="75">
        <f t="shared" si="13"/>
        <v>31.19745937248592</v>
      </c>
      <c r="N54" s="154" t="s">
        <v>12</v>
      </c>
    </row>
    <row r="55" spans="1:16" ht="25.5" customHeight="1" x14ac:dyDescent="0.2">
      <c r="A55" s="104"/>
      <c r="B55" s="150" t="s">
        <v>83</v>
      </c>
      <c r="C55" s="45">
        <f>D55</f>
        <v>1160000</v>
      </c>
      <c r="D55" s="91">
        <v>1160000</v>
      </c>
      <c r="E55" s="94"/>
      <c r="F55" s="86"/>
      <c r="G55" s="87"/>
      <c r="H55" s="87"/>
      <c r="I55" s="84"/>
      <c r="J55" s="84"/>
      <c r="K55" s="89">
        <f>63000+3249.45+63000+1500+3260.97+9000+9000+9000+9000+9000+9000+9000+3369+9225+1180+15750+30250+48000</f>
        <v>304784.42</v>
      </c>
      <c r="L55" s="89">
        <f>D55-K55</f>
        <v>855215.58000000007</v>
      </c>
      <c r="M55" s="89">
        <f>K55*100/D55</f>
        <v>26.274518965517242</v>
      </c>
      <c r="N55" s="90"/>
    </row>
    <row r="56" spans="1:16" ht="21.75" customHeight="1" x14ac:dyDescent="0.2">
      <c r="A56" s="104"/>
      <c r="B56" s="105" t="s">
        <v>82</v>
      </c>
      <c r="C56" s="45">
        <f>E56</f>
        <v>83000</v>
      </c>
      <c r="D56" s="91"/>
      <c r="E56" s="94">
        <f>E57</f>
        <v>83000</v>
      </c>
      <c r="F56" s="103"/>
      <c r="G56" s="87"/>
      <c r="H56" s="87"/>
      <c r="I56" s="84">
        <f>I57</f>
        <v>83000</v>
      </c>
      <c r="J56" s="84">
        <f>J57</f>
        <v>0</v>
      </c>
      <c r="K56" s="89">
        <f>K57</f>
        <v>83000</v>
      </c>
      <c r="L56" s="89">
        <f>I56-K56</f>
        <v>0</v>
      </c>
      <c r="M56" s="89">
        <f>K56*100/E56</f>
        <v>100</v>
      </c>
      <c r="N56" s="90"/>
    </row>
    <row r="57" spans="1:16" ht="69" customHeight="1" x14ac:dyDescent="0.2">
      <c r="A57" s="104"/>
      <c r="B57" s="105" t="s">
        <v>272</v>
      </c>
      <c r="C57" s="45">
        <f>E57</f>
        <v>83000</v>
      </c>
      <c r="D57" s="91"/>
      <c r="E57" s="94">
        <v>83000</v>
      </c>
      <c r="F57" s="103" t="s">
        <v>371</v>
      </c>
      <c r="G57" s="87" t="s">
        <v>356</v>
      </c>
      <c r="H57" s="87" t="s">
        <v>355</v>
      </c>
      <c r="I57" s="84">
        <v>83000</v>
      </c>
      <c r="J57" s="84">
        <f>E57-I57</f>
        <v>0</v>
      </c>
      <c r="K57" s="89">
        <v>83000</v>
      </c>
      <c r="L57" s="89">
        <f>E57-K57</f>
        <v>0</v>
      </c>
      <c r="M57" s="89">
        <f>K57*100/E57</f>
        <v>100</v>
      </c>
      <c r="N57" s="90" t="s">
        <v>273</v>
      </c>
      <c r="P57" s="1">
        <v>83000</v>
      </c>
    </row>
    <row r="58" spans="1:16" ht="23.25" customHeight="1" x14ac:dyDescent="0.2">
      <c r="A58" s="225" t="s">
        <v>211</v>
      </c>
      <c r="B58" s="225"/>
      <c r="C58" s="73">
        <f>D58+E58</f>
        <v>10316600</v>
      </c>
      <c r="D58" s="73">
        <f t="shared" ref="D58:E58" si="21">D59+D63+D68+D74</f>
        <v>7954600</v>
      </c>
      <c r="E58" s="73">
        <f t="shared" si="21"/>
        <v>2362000</v>
      </c>
      <c r="F58" s="26"/>
      <c r="G58" s="165"/>
      <c r="H58" s="165"/>
      <c r="I58" s="73">
        <f t="shared" ref="I58:J58" si="22">I59+I63+I68+I74</f>
        <v>2212000</v>
      </c>
      <c r="J58" s="73">
        <f t="shared" si="22"/>
        <v>64000</v>
      </c>
      <c r="K58" s="75">
        <f>K59+K63+K68+K74</f>
        <v>1081500</v>
      </c>
      <c r="L58" s="75">
        <f>L59+L63+L68+L74</f>
        <v>9171100</v>
      </c>
      <c r="M58" s="75">
        <f t="shared" si="13"/>
        <v>10.4831048989008</v>
      </c>
      <c r="N58" s="25"/>
    </row>
    <row r="59" spans="1:16" ht="35.25" customHeight="1" x14ac:dyDescent="0.35">
      <c r="A59" s="5">
        <v>31</v>
      </c>
      <c r="B59" s="93" t="s">
        <v>13</v>
      </c>
      <c r="C59" s="45">
        <f t="shared" si="17"/>
        <v>2000000</v>
      </c>
      <c r="D59" s="94">
        <f>D60</f>
        <v>1200000</v>
      </c>
      <c r="E59" s="94">
        <f>E61</f>
        <v>800000</v>
      </c>
      <c r="F59" s="103" t="s">
        <v>198</v>
      </c>
      <c r="G59" s="87"/>
      <c r="H59" s="87"/>
      <c r="I59" s="84">
        <f>I62</f>
        <v>750000</v>
      </c>
      <c r="J59" s="84">
        <f>J60+J62</f>
        <v>50000</v>
      </c>
      <c r="K59" s="106">
        <f>K60+K61</f>
        <v>178500</v>
      </c>
      <c r="L59" s="106">
        <f>L60+L61</f>
        <v>1771500</v>
      </c>
      <c r="M59" s="106">
        <f t="shared" si="13"/>
        <v>8.9250000000000007</v>
      </c>
      <c r="N59" s="90" t="s">
        <v>14</v>
      </c>
    </row>
    <row r="60" spans="1:16" ht="24" customHeight="1" x14ac:dyDescent="0.35">
      <c r="A60" s="5"/>
      <c r="B60" s="93" t="s">
        <v>83</v>
      </c>
      <c r="C60" s="45">
        <f>D60</f>
        <v>1200000</v>
      </c>
      <c r="D60" s="94">
        <v>1200000</v>
      </c>
      <c r="E60" s="94"/>
      <c r="F60" s="103"/>
      <c r="G60" s="87"/>
      <c r="H60" s="87"/>
      <c r="I60" s="84"/>
      <c r="J60" s="84"/>
      <c r="K60" s="106">
        <v>178500</v>
      </c>
      <c r="L60" s="106">
        <f>D60-K60</f>
        <v>1021500</v>
      </c>
      <c r="M60" s="106">
        <f>K60*100/D60</f>
        <v>14.875</v>
      </c>
      <c r="N60" s="90"/>
    </row>
    <row r="61" spans="1:16" ht="24" customHeight="1" x14ac:dyDescent="0.35">
      <c r="A61" s="5"/>
      <c r="B61" s="93" t="s">
        <v>82</v>
      </c>
      <c r="C61" s="45"/>
      <c r="D61" s="94"/>
      <c r="E61" s="94">
        <f>E62</f>
        <v>800000</v>
      </c>
      <c r="F61" s="103"/>
      <c r="G61" s="87"/>
      <c r="H61" s="87"/>
      <c r="I61" s="84"/>
      <c r="J61" s="84"/>
      <c r="K61" s="106">
        <f>K62</f>
        <v>0</v>
      </c>
      <c r="L61" s="106">
        <f>L62</f>
        <v>750000</v>
      </c>
      <c r="M61" s="106">
        <v>100</v>
      </c>
      <c r="N61" s="90"/>
    </row>
    <row r="62" spans="1:16" ht="51.75" x14ac:dyDescent="0.35">
      <c r="A62" s="5"/>
      <c r="B62" s="93" t="s">
        <v>313</v>
      </c>
      <c r="C62" s="45">
        <f>E62</f>
        <v>800000</v>
      </c>
      <c r="D62" s="94"/>
      <c r="E62" s="94">
        <v>800000</v>
      </c>
      <c r="F62" s="87" t="s">
        <v>408</v>
      </c>
      <c r="G62" s="87" t="s">
        <v>411</v>
      </c>
      <c r="H62" s="87"/>
      <c r="I62" s="84">
        <v>750000</v>
      </c>
      <c r="J62" s="84">
        <f>E62-I62</f>
        <v>50000</v>
      </c>
      <c r="K62" s="106"/>
      <c r="L62" s="106">
        <v>750000</v>
      </c>
      <c r="M62" s="107"/>
      <c r="N62" s="90"/>
    </row>
    <row r="63" spans="1:16" ht="39.75" customHeight="1" x14ac:dyDescent="0.35">
      <c r="A63" s="5">
        <v>32</v>
      </c>
      <c r="B63" s="108" t="s">
        <v>15</v>
      </c>
      <c r="C63" s="45">
        <f t="shared" si="17"/>
        <v>2066000</v>
      </c>
      <c r="D63" s="94">
        <v>1590000</v>
      </c>
      <c r="E63" s="94">
        <f>E65</f>
        <v>476000</v>
      </c>
      <c r="F63" s="103" t="s">
        <v>198</v>
      </c>
      <c r="G63" s="87"/>
      <c r="H63" s="87"/>
      <c r="I63" s="84">
        <f>I65</f>
        <v>462000</v>
      </c>
      <c r="J63" s="84">
        <f>J65</f>
        <v>14000</v>
      </c>
      <c r="K63" s="106">
        <f>K64+K65</f>
        <v>511600</v>
      </c>
      <c r="L63" s="106">
        <f>L64+L65</f>
        <v>1540400</v>
      </c>
      <c r="M63" s="106">
        <f t="shared" ref="M63:M74" si="23">K63*100/C63</f>
        <v>24.762826718296225</v>
      </c>
      <c r="N63" s="90" t="s">
        <v>16</v>
      </c>
    </row>
    <row r="64" spans="1:16" ht="22.5" customHeight="1" x14ac:dyDescent="0.35">
      <c r="A64" s="5"/>
      <c r="B64" s="108" t="s">
        <v>311</v>
      </c>
      <c r="C64" s="45">
        <f>D64</f>
        <v>1590000</v>
      </c>
      <c r="D64" s="94">
        <v>1590000</v>
      </c>
      <c r="E64" s="94"/>
      <c r="F64" s="103"/>
      <c r="G64" s="87"/>
      <c r="H64" s="87"/>
      <c r="I64" s="84"/>
      <c r="J64" s="84"/>
      <c r="K64" s="106">
        <f>28600+21000</f>
        <v>49600</v>
      </c>
      <c r="L64" s="106">
        <f>D64-K64</f>
        <v>1540400</v>
      </c>
      <c r="M64" s="106">
        <f>K64*100/D64</f>
        <v>3.1194968553459121</v>
      </c>
      <c r="N64" s="90"/>
    </row>
    <row r="65" spans="1:15" ht="23.25" customHeight="1" x14ac:dyDescent="0.35">
      <c r="A65" s="5"/>
      <c r="B65" s="108" t="s">
        <v>263</v>
      </c>
      <c r="C65" s="45">
        <f>E65</f>
        <v>476000</v>
      </c>
      <c r="D65" s="94"/>
      <c r="E65" s="94">
        <f>E66+E67</f>
        <v>476000</v>
      </c>
      <c r="F65" s="86" t="s">
        <v>416</v>
      </c>
      <c r="G65" s="87"/>
      <c r="H65" s="87"/>
      <c r="I65" s="84">
        <f>I66+I67</f>
        <v>462000</v>
      </c>
      <c r="J65" s="84">
        <f>J66+J67</f>
        <v>14000</v>
      </c>
      <c r="K65" s="106">
        <f>K66+K67</f>
        <v>462000</v>
      </c>
      <c r="L65" s="106">
        <f>L66+L67</f>
        <v>0</v>
      </c>
      <c r="M65" s="106">
        <v>100</v>
      </c>
      <c r="N65" s="90"/>
    </row>
    <row r="66" spans="1:15" ht="39.75" customHeight="1" x14ac:dyDescent="0.35">
      <c r="A66" s="5"/>
      <c r="B66" s="83" t="s">
        <v>391</v>
      </c>
      <c r="C66" s="45">
        <f>E66</f>
        <v>238000</v>
      </c>
      <c r="D66" s="94"/>
      <c r="E66" s="94">
        <v>238000</v>
      </c>
      <c r="F66" s="103"/>
      <c r="G66" s="236" t="s">
        <v>373</v>
      </c>
      <c r="H66" s="87" t="s">
        <v>374</v>
      </c>
      <c r="I66" s="84">
        <v>224000</v>
      </c>
      <c r="J66" s="84">
        <f>E66-I66</f>
        <v>14000</v>
      </c>
      <c r="K66" s="106">
        <v>224000</v>
      </c>
      <c r="L66" s="106">
        <v>0</v>
      </c>
      <c r="M66" s="106">
        <v>100</v>
      </c>
      <c r="N66" s="90"/>
      <c r="O66" s="144"/>
    </row>
    <row r="67" spans="1:15" ht="37.5" customHeight="1" x14ac:dyDescent="0.35">
      <c r="A67" s="5"/>
      <c r="B67" s="83" t="s">
        <v>312</v>
      </c>
      <c r="C67" s="45">
        <f>E67</f>
        <v>238000</v>
      </c>
      <c r="D67" s="94"/>
      <c r="E67" s="94">
        <v>238000</v>
      </c>
      <c r="F67" s="103"/>
      <c r="G67" s="237"/>
      <c r="H67" s="87" t="s">
        <v>374</v>
      </c>
      <c r="I67" s="84">
        <v>238000</v>
      </c>
      <c r="J67" s="84">
        <f>E67-I67</f>
        <v>0</v>
      </c>
      <c r="K67" s="106">
        <v>238000</v>
      </c>
      <c r="L67" s="106">
        <v>0</v>
      </c>
      <c r="M67" s="106">
        <f>K67*100/E67</f>
        <v>100</v>
      </c>
      <c r="N67" s="90"/>
    </row>
    <row r="68" spans="1:15" ht="36" customHeight="1" x14ac:dyDescent="0.35">
      <c r="A68" s="5">
        <v>33</v>
      </c>
      <c r="B68" s="83" t="s">
        <v>17</v>
      </c>
      <c r="C68" s="45">
        <f t="shared" si="17"/>
        <v>1795600</v>
      </c>
      <c r="D68" s="85">
        <f>D69</f>
        <v>709600</v>
      </c>
      <c r="E68" s="94">
        <f>E70</f>
        <v>1086000</v>
      </c>
      <c r="F68" s="103" t="s">
        <v>198</v>
      </c>
      <c r="G68" s="87"/>
      <c r="H68" s="87"/>
      <c r="I68" s="84">
        <f>I70</f>
        <v>1000000</v>
      </c>
      <c r="J68" s="84">
        <f>J70</f>
        <v>0</v>
      </c>
      <c r="K68" s="106">
        <f>K69+K70</f>
        <v>255600</v>
      </c>
      <c r="L68" s="106">
        <f t="shared" ref="L68:L74" si="24">C68-K68</f>
        <v>1540000</v>
      </c>
      <c r="M68" s="106">
        <f t="shared" si="23"/>
        <v>14.234796168411673</v>
      </c>
      <c r="N68" s="90" t="s">
        <v>16</v>
      </c>
      <c r="O68" s="144"/>
    </row>
    <row r="69" spans="1:15" ht="24.75" customHeight="1" x14ac:dyDescent="0.35">
      <c r="A69" s="5"/>
      <c r="B69" s="83" t="s">
        <v>311</v>
      </c>
      <c r="C69" s="45">
        <f>D69</f>
        <v>709600</v>
      </c>
      <c r="D69" s="85">
        <v>709600</v>
      </c>
      <c r="E69" s="94"/>
      <c r="F69" s="103"/>
      <c r="G69" s="87"/>
      <c r="H69" s="87"/>
      <c r="I69" s="84"/>
      <c r="J69" s="84"/>
      <c r="K69" s="106">
        <f>8000+1600+40000+40000+40000+40000</f>
        <v>169600</v>
      </c>
      <c r="L69" s="106">
        <f>D69-K69</f>
        <v>540000</v>
      </c>
      <c r="M69" s="106">
        <f>K69*100/D69</f>
        <v>23.900789177001126</v>
      </c>
      <c r="N69" s="90"/>
    </row>
    <row r="70" spans="1:15" ht="23.25" customHeight="1" x14ac:dyDescent="0.35">
      <c r="A70" s="5"/>
      <c r="B70" s="83" t="s">
        <v>310</v>
      </c>
      <c r="C70" s="45">
        <f>E70</f>
        <v>1086000</v>
      </c>
      <c r="D70" s="85"/>
      <c r="E70" s="94">
        <f>E71+E72+E73</f>
        <v>1086000</v>
      </c>
      <c r="F70" s="103"/>
      <c r="G70" s="87"/>
      <c r="H70" s="87"/>
      <c r="I70" s="84">
        <f>I71+I72+I73</f>
        <v>1000000</v>
      </c>
      <c r="J70" s="84">
        <f>J71+J72+J73</f>
        <v>0</v>
      </c>
      <c r="K70" s="84">
        <f>K71+K72+K73</f>
        <v>86000</v>
      </c>
      <c r="L70" s="89">
        <f>L71+L72+L73</f>
        <v>1000000</v>
      </c>
      <c r="M70" s="106">
        <f>K70*100/E70</f>
        <v>7.9189686924493552</v>
      </c>
      <c r="N70" s="90"/>
    </row>
    <row r="71" spans="1:15" ht="40.5" customHeight="1" x14ac:dyDescent="0.35">
      <c r="A71" s="5"/>
      <c r="B71" s="83" t="s">
        <v>307</v>
      </c>
      <c r="C71" s="45">
        <f>E71</f>
        <v>500000</v>
      </c>
      <c r="D71" s="85"/>
      <c r="E71" s="94">
        <v>500000</v>
      </c>
      <c r="F71" s="103" t="s">
        <v>361</v>
      </c>
      <c r="G71" s="87" t="s">
        <v>375</v>
      </c>
      <c r="H71" s="87" t="s">
        <v>378</v>
      </c>
      <c r="I71" s="84">
        <v>500000</v>
      </c>
      <c r="J71" s="84">
        <v>0</v>
      </c>
      <c r="K71" s="106">
        <v>0</v>
      </c>
      <c r="L71" s="106">
        <f>E71-K71</f>
        <v>500000</v>
      </c>
      <c r="M71" s="107">
        <f>K71*100/E71</f>
        <v>0</v>
      </c>
      <c r="N71" s="90"/>
    </row>
    <row r="72" spans="1:15" ht="51.75" x14ac:dyDescent="0.35">
      <c r="A72" s="5"/>
      <c r="B72" s="83" t="s">
        <v>308</v>
      </c>
      <c r="C72" s="45">
        <f>E72</f>
        <v>86000</v>
      </c>
      <c r="D72" s="85"/>
      <c r="E72" s="94">
        <v>86000</v>
      </c>
      <c r="F72" s="103" t="s">
        <v>371</v>
      </c>
      <c r="G72" s="87" t="s">
        <v>376</v>
      </c>
      <c r="H72" s="87"/>
      <c r="I72" s="84"/>
      <c r="J72" s="84">
        <v>0</v>
      </c>
      <c r="K72" s="106">
        <v>86000</v>
      </c>
      <c r="L72" s="106">
        <f t="shared" ref="L72:L73" si="25">E72-K72</f>
        <v>0</v>
      </c>
      <c r="M72" s="106">
        <v>100</v>
      </c>
      <c r="N72" s="90"/>
    </row>
    <row r="73" spans="1:15" ht="37.5" x14ac:dyDescent="0.35">
      <c r="A73" s="5"/>
      <c r="B73" s="83" t="s">
        <v>309</v>
      </c>
      <c r="C73" s="45">
        <f>E73</f>
        <v>500000</v>
      </c>
      <c r="D73" s="85"/>
      <c r="E73" s="94">
        <v>500000</v>
      </c>
      <c r="F73" s="103" t="s">
        <v>361</v>
      </c>
      <c r="G73" s="87" t="s">
        <v>377</v>
      </c>
      <c r="H73" s="87" t="s">
        <v>378</v>
      </c>
      <c r="I73" s="84">
        <v>500000</v>
      </c>
      <c r="J73" s="84">
        <v>0</v>
      </c>
      <c r="K73" s="106"/>
      <c r="L73" s="106">
        <f t="shared" si="25"/>
        <v>500000</v>
      </c>
      <c r="M73" s="107">
        <v>0</v>
      </c>
      <c r="N73" s="90"/>
    </row>
    <row r="74" spans="1:15" ht="36.75" customHeight="1" x14ac:dyDescent="0.35">
      <c r="A74" s="5">
        <v>34</v>
      </c>
      <c r="B74" s="83" t="s">
        <v>18</v>
      </c>
      <c r="C74" s="45">
        <f t="shared" si="17"/>
        <v>4455000</v>
      </c>
      <c r="D74" s="91">
        <v>4455000</v>
      </c>
      <c r="E74" s="94">
        <v>0</v>
      </c>
      <c r="F74" s="103" t="s">
        <v>198</v>
      </c>
      <c r="G74" s="87"/>
      <c r="H74" s="87"/>
      <c r="I74" s="84"/>
      <c r="J74" s="84"/>
      <c r="K74" s="106">
        <f>40600+15400+31000+39000+9800</f>
        <v>135800</v>
      </c>
      <c r="L74" s="106">
        <f t="shared" si="24"/>
        <v>4319200</v>
      </c>
      <c r="M74" s="106">
        <f t="shared" si="23"/>
        <v>3.0482603815937148</v>
      </c>
      <c r="N74" s="90" t="s">
        <v>16</v>
      </c>
    </row>
    <row r="75" spans="1:15" ht="21" x14ac:dyDescent="0.2">
      <c r="A75" s="223" t="s">
        <v>212</v>
      </c>
      <c r="B75" s="223"/>
      <c r="C75" s="73">
        <f>D75</f>
        <v>900000</v>
      </c>
      <c r="D75" s="73">
        <f t="shared" ref="D75:E75" si="26">D76+D77+D78</f>
        <v>900000</v>
      </c>
      <c r="E75" s="73">
        <f t="shared" si="26"/>
        <v>0</v>
      </c>
      <c r="F75" s="26"/>
      <c r="G75" s="165"/>
      <c r="H75" s="165"/>
      <c r="I75" s="73">
        <f t="shared" ref="I75:J75" si="27">I76+I77+I78</f>
        <v>0</v>
      </c>
      <c r="J75" s="73">
        <f t="shared" si="27"/>
        <v>0</v>
      </c>
      <c r="K75" s="75">
        <f>K76+K77+K78</f>
        <v>318600</v>
      </c>
      <c r="L75" s="75">
        <f>L76+L77+L78</f>
        <v>581400</v>
      </c>
      <c r="M75" s="75">
        <f>K75*100/C75</f>
        <v>35.4</v>
      </c>
      <c r="N75" s="100"/>
    </row>
    <row r="76" spans="1:15" ht="36" customHeight="1" x14ac:dyDescent="0.2">
      <c r="A76" s="5">
        <v>35</v>
      </c>
      <c r="B76" s="109" t="s">
        <v>19</v>
      </c>
      <c r="C76" s="45">
        <f t="shared" si="17"/>
        <v>300000</v>
      </c>
      <c r="D76" s="110">
        <v>300000</v>
      </c>
      <c r="E76" s="94">
        <v>0</v>
      </c>
      <c r="F76" s="103" t="s">
        <v>198</v>
      </c>
      <c r="G76" s="87"/>
      <c r="H76" s="87"/>
      <c r="I76" s="84"/>
      <c r="J76" s="84"/>
      <c r="K76" s="89">
        <f>94800+700+40000+3000+1200</f>
        <v>139700</v>
      </c>
      <c r="L76" s="89">
        <f>C76-K76</f>
        <v>160300</v>
      </c>
      <c r="M76" s="89">
        <f>K76*100/C76</f>
        <v>46.56666666666667</v>
      </c>
      <c r="N76" s="111" t="s">
        <v>20</v>
      </c>
    </row>
    <row r="77" spans="1:15" ht="37.5" customHeight="1" x14ac:dyDescent="0.2">
      <c r="A77" s="5">
        <v>36</v>
      </c>
      <c r="B77" s="109" t="s">
        <v>21</v>
      </c>
      <c r="C77" s="45">
        <f t="shared" si="17"/>
        <v>300000</v>
      </c>
      <c r="D77" s="110">
        <v>300000</v>
      </c>
      <c r="E77" s="94">
        <v>0</v>
      </c>
      <c r="F77" s="103" t="s">
        <v>198</v>
      </c>
      <c r="G77" s="87"/>
      <c r="H77" s="87"/>
      <c r="I77" s="84"/>
      <c r="J77" s="84"/>
      <c r="K77" s="89">
        <f>94100+600+4500</f>
        <v>99200</v>
      </c>
      <c r="L77" s="89">
        <f t="shared" ref="L77:L78" si="28">C77-K77</f>
        <v>200800</v>
      </c>
      <c r="M77" s="89">
        <f t="shared" ref="M77:M78" si="29">K77*100/C77</f>
        <v>33.06666666666667</v>
      </c>
      <c r="N77" s="111" t="s">
        <v>20</v>
      </c>
    </row>
    <row r="78" spans="1:15" ht="35.25" customHeight="1" x14ac:dyDescent="0.2">
      <c r="A78" s="5">
        <v>37</v>
      </c>
      <c r="B78" s="109" t="s">
        <v>22</v>
      </c>
      <c r="C78" s="45">
        <f t="shared" si="17"/>
        <v>300000</v>
      </c>
      <c r="D78" s="110">
        <v>300000</v>
      </c>
      <c r="E78" s="94">
        <v>0</v>
      </c>
      <c r="F78" s="103" t="s">
        <v>198</v>
      </c>
      <c r="G78" s="87"/>
      <c r="H78" s="87"/>
      <c r="I78" s="84"/>
      <c r="J78" s="84"/>
      <c r="K78" s="89">
        <f>59700+20000</f>
        <v>79700</v>
      </c>
      <c r="L78" s="89">
        <f t="shared" si="28"/>
        <v>220300</v>
      </c>
      <c r="M78" s="89">
        <f t="shared" si="29"/>
        <v>26.566666666666666</v>
      </c>
      <c r="N78" s="111" t="s">
        <v>20</v>
      </c>
    </row>
    <row r="79" spans="1:15" ht="21" customHeight="1" x14ac:dyDescent="0.2">
      <c r="A79" s="221" t="s">
        <v>213</v>
      </c>
      <c r="B79" s="222"/>
      <c r="C79" s="73">
        <f>D79</f>
        <v>6325500</v>
      </c>
      <c r="D79" s="73">
        <f>D80+D82</f>
        <v>6325500</v>
      </c>
      <c r="E79" s="112">
        <v>0</v>
      </c>
      <c r="F79" s="113"/>
      <c r="G79" s="165"/>
      <c r="H79" s="165"/>
      <c r="I79" s="73">
        <f>I80+I82</f>
        <v>0</v>
      </c>
      <c r="J79" s="73">
        <f>J80+J82</f>
        <v>0</v>
      </c>
      <c r="K79" s="75">
        <f>K80+K82</f>
        <v>1899120</v>
      </c>
      <c r="L79" s="75">
        <f>L80+L82</f>
        <v>4426380</v>
      </c>
      <c r="M79" s="75">
        <f>K79*100/C79</f>
        <v>30.023239269622955</v>
      </c>
      <c r="N79" s="100"/>
    </row>
    <row r="80" spans="1:15" ht="21" x14ac:dyDescent="0.2">
      <c r="A80" s="224" t="s">
        <v>214</v>
      </c>
      <c r="B80" s="222"/>
      <c r="C80" s="73">
        <f>C81</f>
        <v>1000000</v>
      </c>
      <c r="D80" s="73">
        <f>D81</f>
        <v>1000000</v>
      </c>
      <c r="E80" s="74">
        <v>0</v>
      </c>
      <c r="F80" s="17"/>
      <c r="G80" s="165"/>
      <c r="H80" s="165"/>
      <c r="I80" s="73">
        <f>I81</f>
        <v>0</v>
      </c>
      <c r="J80" s="73">
        <f>J81</f>
        <v>0</v>
      </c>
      <c r="K80" s="75">
        <f>K81</f>
        <v>924800</v>
      </c>
      <c r="L80" s="75">
        <f>L81</f>
        <v>75200</v>
      </c>
      <c r="M80" s="75">
        <f>K80*100/C80</f>
        <v>92.48</v>
      </c>
      <c r="N80" s="114"/>
    </row>
    <row r="81" spans="1:14" ht="39" customHeight="1" x14ac:dyDescent="0.2">
      <c r="A81" s="5">
        <v>38</v>
      </c>
      <c r="B81" s="93" t="s">
        <v>23</v>
      </c>
      <c r="C81" s="45">
        <f t="shared" si="17"/>
        <v>1000000</v>
      </c>
      <c r="D81" s="85">
        <v>1000000</v>
      </c>
      <c r="E81" s="84">
        <v>0</v>
      </c>
      <c r="F81" s="86" t="s">
        <v>262</v>
      </c>
      <c r="G81" s="87"/>
      <c r="H81" s="87"/>
      <c r="I81" s="84"/>
      <c r="J81" s="84"/>
      <c r="K81" s="89">
        <f>184200+184200+184200+42000+10000+10000+42000+184200+42000+42000</f>
        <v>924800</v>
      </c>
      <c r="L81" s="89">
        <f>C81-K81</f>
        <v>75200</v>
      </c>
      <c r="M81" s="89">
        <f>K81*100/C81</f>
        <v>92.48</v>
      </c>
      <c r="N81" s="90" t="s">
        <v>24</v>
      </c>
    </row>
    <row r="82" spans="1:14" ht="40.5" customHeight="1" x14ac:dyDescent="0.2">
      <c r="A82" s="223" t="s">
        <v>215</v>
      </c>
      <c r="B82" s="223"/>
      <c r="C82" s="73">
        <f>D82</f>
        <v>5325500</v>
      </c>
      <c r="D82" s="73">
        <f>D83+D84+D85+D86+D87+D88+D89+D90+D91+D92+D93+D94+D95</f>
        <v>5325500</v>
      </c>
      <c r="E82" s="80">
        <v>0</v>
      </c>
      <c r="F82" s="115" t="s">
        <v>262</v>
      </c>
      <c r="G82" s="165"/>
      <c r="H82" s="165"/>
      <c r="I82" s="73">
        <f>I83+I84+I85+I86+I87+I88+I89+I90+I91+I92+I93+I94+I95</f>
        <v>0</v>
      </c>
      <c r="J82" s="73">
        <f>J83+J84+J85+J86+J87+J88+J89+J90+J91+J92+J93+J94+J95</f>
        <v>0</v>
      </c>
      <c r="K82" s="75">
        <f>K83+K84+K85+K86+K87+K88+K89+K90+K91+K92+K93+K94+K95</f>
        <v>974320</v>
      </c>
      <c r="L82" s="75">
        <f>L83+L84+L85+L86+L87+L88+L89+L90+L91+L92+L93+L94+L95</f>
        <v>4351180</v>
      </c>
      <c r="M82" s="75">
        <f>K82*100/C82</f>
        <v>18.295371326635998</v>
      </c>
      <c r="N82" s="114"/>
    </row>
    <row r="83" spans="1:14" ht="20.25" customHeight="1" x14ac:dyDescent="0.2">
      <c r="A83" s="5">
        <v>39</v>
      </c>
      <c r="B83" s="93" t="s">
        <v>131</v>
      </c>
      <c r="C83" s="45">
        <f>D83</f>
        <v>500000</v>
      </c>
      <c r="D83" s="85">
        <v>500000</v>
      </c>
      <c r="E83" s="94">
        <v>0</v>
      </c>
      <c r="F83" s="103"/>
      <c r="G83" s="87"/>
      <c r="H83" s="87"/>
      <c r="I83" s="84"/>
      <c r="J83" s="84"/>
      <c r="K83" s="89">
        <f>94960+94960+13500</f>
        <v>203420</v>
      </c>
      <c r="L83" s="89">
        <f>D83-K83</f>
        <v>296580</v>
      </c>
      <c r="M83" s="89">
        <f>K83*100/D83</f>
        <v>40.683999999999997</v>
      </c>
      <c r="N83" s="90" t="s">
        <v>25</v>
      </c>
    </row>
    <row r="84" spans="1:14" ht="19.5" customHeight="1" x14ac:dyDescent="0.2">
      <c r="A84" s="5">
        <v>40</v>
      </c>
      <c r="B84" s="93" t="s">
        <v>126</v>
      </c>
      <c r="C84" s="45">
        <f t="shared" ref="C84:C95" si="30">D84</f>
        <v>490000</v>
      </c>
      <c r="D84" s="85">
        <v>490000</v>
      </c>
      <c r="E84" s="94">
        <v>0</v>
      </c>
      <c r="F84" s="103"/>
      <c r="G84" s="87"/>
      <c r="H84" s="87"/>
      <c r="I84" s="84"/>
      <c r="J84" s="84"/>
      <c r="K84" s="89">
        <v>0</v>
      </c>
      <c r="L84" s="89">
        <f t="shared" ref="L84:L95" si="31">D84-K84</f>
        <v>490000</v>
      </c>
      <c r="M84" s="84">
        <f t="shared" ref="M84:M95" si="32">K84*100/D84</f>
        <v>0</v>
      </c>
      <c r="N84" s="90" t="s">
        <v>25</v>
      </c>
    </row>
    <row r="85" spans="1:14" ht="22.5" customHeight="1" x14ac:dyDescent="0.2">
      <c r="A85" s="5">
        <v>41</v>
      </c>
      <c r="B85" s="93" t="s">
        <v>127</v>
      </c>
      <c r="C85" s="45">
        <f t="shared" si="30"/>
        <v>60000</v>
      </c>
      <c r="D85" s="85">
        <v>60000</v>
      </c>
      <c r="E85" s="84">
        <v>0</v>
      </c>
      <c r="F85" s="103"/>
      <c r="G85" s="87"/>
      <c r="H85" s="87"/>
      <c r="I85" s="84"/>
      <c r="J85" s="84"/>
      <c r="K85" s="89">
        <v>22400</v>
      </c>
      <c r="L85" s="89">
        <f t="shared" si="31"/>
        <v>37600</v>
      </c>
      <c r="M85" s="89">
        <f t="shared" si="32"/>
        <v>37.333333333333336</v>
      </c>
      <c r="N85" s="90" t="s">
        <v>25</v>
      </c>
    </row>
    <row r="86" spans="1:14" ht="21" x14ac:dyDescent="0.2">
      <c r="A86" s="5">
        <v>42</v>
      </c>
      <c r="B86" s="93" t="s">
        <v>338</v>
      </c>
      <c r="C86" s="45">
        <f t="shared" si="30"/>
        <v>60000</v>
      </c>
      <c r="D86" s="85">
        <v>60000</v>
      </c>
      <c r="E86" s="94">
        <v>0</v>
      </c>
      <c r="F86" s="103"/>
      <c r="G86" s="87"/>
      <c r="H86" s="87"/>
      <c r="I86" s="84"/>
      <c r="J86" s="84"/>
      <c r="K86" s="89">
        <f>7800+52200</f>
        <v>60000</v>
      </c>
      <c r="L86" s="89">
        <f t="shared" si="31"/>
        <v>0</v>
      </c>
      <c r="M86" s="89">
        <f t="shared" si="32"/>
        <v>100</v>
      </c>
      <c r="N86" s="90" t="s">
        <v>25</v>
      </c>
    </row>
    <row r="87" spans="1:14" ht="22.5" customHeight="1" x14ac:dyDescent="0.2">
      <c r="A87" s="5">
        <v>43</v>
      </c>
      <c r="B87" s="93" t="s">
        <v>128</v>
      </c>
      <c r="C87" s="45">
        <f t="shared" si="30"/>
        <v>60000</v>
      </c>
      <c r="D87" s="85">
        <v>60000</v>
      </c>
      <c r="E87" s="94">
        <v>0</v>
      </c>
      <c r="F87" s="103"/>
      <c r="G87" s="87"/>
      <c r="H87" s="87"/>
      <c r="I87" s="84"/>
      <c r="J87" s="84"/>
      <c r="K87" s="89">
        <v>29000</v>
      </c>
      <c r="L87" s="89">
        <f t="shared" si="31"/>
        <v>31000</v>
      </c>
      <c r="M87" s="89">
        <f t="shared" si="32"/>
        <v>48.333333333333336</v>
      </c>
      <c r="N87" s="90" t="s">
        <v>25</v>
      </c>
    </row>
    <row r="88" spans="1:14" ht="21.75" customHeight="1" x14ac:dyDescent="0.2">
      <c r="A88" s="5">
        <v>44</v>
      </c>
      <c r="B88" s="93" t="s">
        <v>129</v>
      </c>
      <c r="C88" s="45">
        <f t="shared" si="30"/>
        <v>60000</v>
      </c>
      <c r="D88" s="85">
        <v>60000</v>
      </c>
      <c r="E88" s="94">
        <v>0</v>
      </c>
      <c r="F88" s="103"/>
      <c r="G88" s="87"/>
      <c r="H88" s="87"/>
      <c r="I88" s="84"/>
      <c r="J88" s="84"/>
      <c r="K88" s="89">
        <v>0</v>
      </c>
      <c r="L88" s="89">
        <f t="shared" si="31"/>
        <v>60000</v>
      </c>
      <c r="M88" s="84">
        <f t="shared" si="32"/>
        <v>0</v>
      </c>
      <c r="N88" s="90" t="s">
        <v>25</v>
      </c>
    </row>
    <row r="89" spans="1:14" ht="21" customHeight="1" x14ac:dyDescent="0.2">
      <c r="A89" s="5">
        <v>45</v>
      </c>
      <c r="B89" s="93" t="s">
        <v>130</v>
      </c>
      <c r="C89" s="45">
        <f t="shared" si="30"/>
        <v>60000</v>
      </c>
      <c r="D89" s="85">
        <v>60000</v>
      </c>
      <c r="E89" s="84">
        <v>0</v>
      </c>
      <c r="F89" s="103"/>
      <c r="G89" s="87"/>
      <c r="H89" s="87"/>
      <c r="I89" s="84"/>
      <c r="J89" s="84"/>
      <c r="K89" s="89">
        <v>0</v>
      </c>
      <c r="L89" s="89">
        <f t="shared" si="31"/>
        <v>60000</v>
      </c>
      <c r="M89" s="84">
        <f t="shared" si="32"/>
        <v>0</v>
      </c>
      <c r="N89" s="90" t="s">
        <v>25</v>
      </c>
    </row>
    <row r="90" spans="1:14" ht="39.75" customHeight="1" x14ac:dyDescent="0.2">
      <c r="A90" s="5">
        <v>46</v>
      </c>
      <c r="B90" s="93" t="s">
        <v>26</v>
      </c>
      <c r="C90" s="45">
        <f t="shared" si="30"/>
        <v>252000</v>
      </c>
      <c r="D90" s="85">
        <v>252000</v>
      </c>
      <c r="E90" s="94">
        <v>0</v>
      </c>
      <c r="F90" s="103"/>
      <c r="G90" s="87"/>
      <c r="H90" s="87"/>
      <c r="I90" s="84"/>
      <c r="J90" s="84"/>
      <c r="K90" s="89">
        <v>0</v>
      </c>
      <c r="L90" s="89">
        <f t="shared" si="31"/>
        <v>252000</v>
      </c>
      <c r="M90" s="84">
        <f t="shared" si="32"/>
        <v>0</v>
      </c>
      <c r="N90" s="90" t="s">
        <v>25</v>
      </c>
    </row>
    <row r="91" spans="1:14" ht="22.5" customHeight="1" x14ac:dyDescent="0.2">
      <c r="A91" s="5">
        <v>47</v>
      </c>
      <c r="B91" s="93" t="s">
        <v>381</v>
      </c>
      <c r="C91" s="45">
        <f t="shared" si="30"/>
        <v>252000</v>
      </c>
      <c r="D91" s="85">
        <v>252000</v>
      </c>
      <c r="E91" s="94">
        <v>0</v>
      </c>
      <c r="F91" s="103"/>
      <c r="G91" s="87"/>
      <c r="H91" s="87"/>
      <c r="I91" s="84"/>
      <c r="J91" s="84"/>
      <c r="K91" s="89">
        <f>11000+36000+10000</f>
        <v>57000</v>
      </c>
      <c r="L91" s="89">
        <f t="shared" si="31"/>
        <v>195000</v>
      </c>
      <c r="M91" s="89">
        <f t="shared" si="32"/>
        <v>22.61904761904762</v>
      </c>
      <c r="N91" s="90" t="s">
        <v>25</v>
      </c>
    </row>
    <row r="92" spans="1:14" ht="21.75" customHeight="1" x14ac:dyDescent="0.2">
      <c r="A92" s="5">
        <v>48</v>
      </c>
      <c r="B92" s="83" t="s">
        <v>27</v>
      </c>
      <c r="C92" s="45">
        <f t="shared" si="30"/>
        <v>300000</v>
      </c>
      <c r="D92" s="85">
        <v>300000</v>
      </c>
      <c r="E92" s="94">
        <v>0</v>
      </c>
      <c r="F92" s="103"/>
      <c r="G92" s="87"/>
      <c r="H92" s="87"/>
      <c r="I92" s="84"/>
      <c r="J92" s="84"/>
      <c r="K92" s="89">
        <f>255400+44600</f>
        <v>300000</v>
      </c>
      <c r="L92" s="89">
        <f t="shared" si="31"/>
        <v>0</v>
      </c>
      <c r="M92" s="89">
        <f t="shared" si="32"/>
        <v>100</v>
      </c>
      <c r="N92" s="90" t="s">
        <v>25</v>
      </c>
    </row>
    <row r="93" spans="1:14" ht="39" customHeight="1" x14ac:dyDescent="0.2">
      <c r="A93" s="5">
        <v>49</v>
      </c>
      <c r="B93" s="83" t="s">
        <v>278</v>
      </c>
      <c r="C93" s="45">
        <f t="shared" si="30"/>
        <v>231500</v>
      </c>
      <c r="D93" s="85">
        <v>231500</v>
      </c>
      <c r="E93" s="94">
        <v>0</v>
      </c>
      <c r="F93" s="103"/>
      <c r="G93" s="87"/>
      <c r="H93" s="87"/>
      <c r="I93" s="84"/>
      <c r="J93" s="84"/>
      <c r="K93" s="89">
        <f>169900+61600</f>
        <v>231500</v>
      </c>
      <c r="L93" s="89">
        <f t="shared" si="31"/>
        <v>0</v>
      </c>
      <c r="M93" s="89">
        <f t="shared" si="32"/>
        <v>100</v>
      </c>
      <c r="N93" s="90" t="s">
        <v>279</v>
      </c>
    </row>
    <row r="94" spans="1:14" ht="25.5" customHeight="1" x14ac:dyDescent="0.2">
      <c r="A94" s="5">
        <v>50</v>
      </c>
      <c r="B94" s="83" t="s">
        <v>380</v>
      </c>
      <c r="C94" s="45">
        <f t="shared" si="30"/>
        <v>1500000</v>
      </c>
      <c r="D94" s="85">
        <v>1500000</v>
      </c>
      <c r="E94" s="94">
        <v>0</v>
      </c>
      <c r="F94" s="103"/>
      <c r="G94" s="87"/>
      <c r="H94" s="87"/>
      <c r="I94" s="84"/>
      <c r="J94" s="84"/>
      <c r="K94" s="89">
        <f>27500+32500+11000</f>
        <v>71000</v>
      </c>
      <c r="L94" s="89">
        <f t="shared" si="31"/>
        <v>1429000</v>
      </c>
      <c r="M94" s="89">
        <f t="shared" si="32"/>
        <v>4.7333333333333334</v>
      </c>
      <c r="N94" s="90" t="s">
        <v>25</v>
      </c>
    </row>
    <row r="95" spans="1:14" ht="21" customHeight="1" x14ac:dyDescent="0.2">
      <c r="A95" s="5">
        <v>51</v>
      </c>
      <c r="B95" s="83" t="s">
        <v>28</v>
      </c>
      <c r="C95" s="45">
        <f t="shared" si="30"/>
        <v>1500000</v>
      </c>
      <c r="D95" s="85">
        <v>1500000</v>
      </c>
      <c r="E95" s="94">
        <v>0</v>
      </c>
      <c r="F95" s="103"/>
      <c r="G95" s="87"/>
      <c r="H95" s="87"/>
      <c r="I95" s="84"/>
      <c r="J95" s="84"/>
      <c r="K95" s="89">
        <v>0</v>
      </c>
      <c r="L95" s="89">
        <f t="shared" si="31"/>
        <v>1500000</v>
      </c>
      <c r="M95" s="84">
        <f t="shared" si="32"/>
        <v>0</v>
      </c>
      <c r="N95" s="116" t="s">
        <v>29</v>
      </c>
    </row>
    <row r="96" spans="1:14" ht="18.75" customHeight="1" x14ac:dyDescent="0.2">
      <c r="A96" s="221" t="s">
        <v>216</v>
      </c>
      <c r="B96" s="222"/>
      <c r="C96" s="194">
        <f>E96</f>
        <v>40164900</v>
      </c>
      <c r="D96" s="73">
        <f t="shared" ref="D96:E96" si="33">D97+D103</f>
        <v>0</v>
      </c>
      <c r="E96" s="73">
        <f t="shared" si="33"/>
        <v>40164900</v>
      </c>
      <c r="F96" s="26"/>
      <c r="G96" s="165"/>
      <c r="H96" s="165"/>
      <c r="I96" s="139">
        <f t="shared" ref="I96:J96" si="34">I97+I103</f>
        <v>40163316.700000003</v>
      </c>
      <c r="J96" s="139">
        <f t="shared" si="34"/>
        <v>1583.3000000007451</v>
      </c>
      <c r="K96" s="75">
        <f>K97+K103</f>
        <v>0</v>
      </c>
      <c r="L96" s="75">
        <f>L97+L103</f>
        <v>40163316.700000003</v>
      </c>
      <c r="M96" s="74">
        <f>K96*100/E96</f>
        <v>0</v>
      </c>
      <c r="N96" s="90"/>
    </row>
    <row r="97" spans="1:14" ht="22.5" customHeight="1" x14ac:dyDescent="0.2">
      <c r="A97" s="224" t="s">
        <v>217</v>
      </c>
      <c r="B97" s="222"/>
      <c r="C97" s="194">
        <f>E97</f>
        <v>29985900</v>
      </c>
      <c r="D97" s="73">
        <f t="shared" ref="D97:E97" si="35">D98+D99+D100+D101+D102</f>
        <v>0</v>
      </c>
      <c r="E97" s="73">
        <f t="shared" si="35"/>
        <v>29985900</v>
      </c>
      <c r="F97" s="26"/>
      <c r="G97" s="165"/>
      <c r="H97" s="165"/>
      <c r="I97" s="139">
        <f t="shared" ref="I97:J97" si="36">I98+I99+I100+I101+I102</f>
        <v>29984316.699999999</v>
      </c>
      <c r="J97" s="139">
        <f t="shared" si="36"/>
        <v>1583.3000000007451</v>
      </c>
      <c r="K97" s="75">
        <f>K98+K99+K100+K101+K102</f>
        <v>0</v>
      </c>
      <c r="L97" s="75">
        <f>L98+L99+L100+L101+L102</f>
        <v>29984316.699999999</v>
      </c>
      <c r="M97" s="74">
        <f>K97*100/E97</f>
        <v>0</v>
      </c>
      <c r="N97" s="100"/>
    </row>
    <row r="98" spans="1:14" ht="54.75" customHeight="1" x14ac:dyDescent="0.2">
      <c r="A98" s="5">
        <v>52</v>
      </c>
      <c r="B98" s="83" t="s">
        <v>30</v>
      </c>
      <c r="C98" s="45">
        <f>E98</f>
        <v>5990880</v>
      </c>
      <c r="D98" s="91">
        <v>0</v>
      </c>
      <c r="E98" s="91">
        <f>6000000-9120</f>
        <v>5990880</v>
      </c>
      <c r="F98" s="86" t="s">
        <v>361</v>
      </c>
      <c r="G98" s="86" t="s">
        <v>297</v>
      </c>
      <c r="H98" s="87" t="s">
        <v>326</v>
      </c>
      <c r="I98" s="84">
        <v>5990880</v>
      </c>
      <c r="J98" s="88">
        <f>E98-I98</f>
        <v>0</v>
      </c>
      <c r="K98" s="89">
        <v>0</v>
      </c>
      <c r="L98" s="89">
        <v>5990880</v>
      </c>
      <c r="M98" s="84">
        <f>K98*100/E98</f>
        <v>0</v>
      </c>
      <c r="N98" s="117" t="s">
        <v>31</v>
      </c>
    </row>
    <row r="99" spans="1:14" ht="53.25" customHeight="1" x14ac:dyDescent="0.2">
      <c r="A99" s="5">
        <v>53</v>
      </c>
      <c r="B99" s="83" t="s">
        <v>32</v>
      </c>
      <c r="C99" s="45">
        <f t="shared" ref="C99:C102" si="37">E99</f>
        <v>9996620</v>
      </c>
      <c r="D99" s="84">
        <v>0</v>
      </c>
      <c r="E99" s="91">
        <f>10000000-3380</f>
        <v>9996620</v>
      </c>
      <c r="F99" s="86" t="s">
        <v>361</v>
      </c>
      <c r="G99" s="86" t="s">
        <v>297</v>
      </c>
      <c r="H99" s="87" t="s">
        <v>326</v>
      </c>
      <c r="I99" s="89">
        <v>9995036.6999999993</v>
      </c>
      <c r="J99" s="118">
        <f t="shared" ref="J99:J102" si="38">E99-I99</f>
        <v>1583.3000000007451</v>
      </c>
      <c r="K99" s="89">
        <v>0</v>
      </c>
      <c r="L99" s="89">
        <v>9995036.6999999993</v>
      </c>
      <c r="M99" s="84">
        <f t="shared" ref="M99:M102" si="39">K99*100/E99</f>
        <v>0</v>
      </c>
      <c r="N99" s="117" t="s">
        <v>31</v>
      </c>
    </row>
    <row r="100" spans="1:14" ht="54.75" customHeight="1" x14ac:dyDescent="0.2">
      <c r="A100" s="5">
        <v>54</v>
      </c>
      <c r="B100" s="83" t="s">
        <v>33</v>
      </c>
      <c r="C100" s="45">
        <f t="shared" si="37"/>
        <v>7660800</v>
      </c>
      <c r="D100" s="84">
        <v>0</v>
      </c>
      <c r="E100" s="91">
        <f>7770000-109200</f>
        <v>7660800</v>
      </c>
      <c r="F100" s="86" t="s">
        <v>361</v>
      </c>
      <c r="G100" s="86" t="s">
        <v>297</v>
      </c>
      <c r="H100" s="87" t="s">
        <v>326</v>
      </c>
      <c r="I100" s="84">
        <v>7660800</v>
      </c>
      <c r="J100" s="88">
        <f t="shared" si="38"/>
        <v>0</v>
      </c>
      <c r="K100" s="89">
        <v>0</v>
      </c>
      <c r="L100" s="89">
        <v>7660800</v>
      </c>
      <c r="M100" s="84">
        <f t="shared" si="39"/>
        <v>0</v>
      </c>
      <c r="N100" s="117" t="s">
        <v>31</v>
      </c>
    </row>
    <row r="101" spans="1:14" ht="53.25" customHeight="1" x14ac:dyDescent="0.2">
      <c r="A101" s="5">
        <v>55</v>
      </c>
      <c r="B101" s="83" t="s">
        <v>34</v>
      </c>
      <c r="C101" s="45">
        <f t="shared" si="37"/>
        <v>2389600</v>
      </c>
      <c r="D101" s="84">
        <v>0</v>
      </c>
      <c r="E101" s="91">
        <f>2400000-10400</f>
        <v>2389600</v>
      </c>
      <c r="F101" s="86" t="s">
        <v>361</v>
      </c>
      <c r="G101" s="86" t="s">
        <v>297</v>
      </c>
      <c r="H101" s="87" t="s">
        <v>326</v>
      </c>
      <c r="I101" s="84">
        <v>2389600</v>
      </c>
      <c r="J101" s="88">
        <f t="shared" si="38"/>
        <v>0</v>
      </c>
      <c r="K101" s="89">
        <v>0</v>
      </c>
      <c r="L101" s="89">
        <v>2389600</v>
      </c>
      <c r="M101" s="84">
        <f t="shared" si="39"/>
        <v>0</v>
      </c>
      <c r="N101" s="117" t="s">
        <v>31</v>
      </c>
    </row>
    <row r="102" spans="1:14" ht="56.25" customHeight="1" x14ac:dyDescent="0.2">
      <c r="A102" s="5">
        <v>56</v>
      </c>
      <c r="B102" s="93" t="s">
        <v>35</v>
      </c>
      <c r="C102" s="45">
        <f t="shared" si="37"/>
        <v>3948000</v>
      </c>
      <c r="D102" s="91">
        <v>0</v>
      </c>
      <c r="E102" s="91">
        <f>3965000-17000</f>
        <v>3948000</v>
      </c>
      <c r="F102" s="86" t="s">
        <v>361</v>
      </c>
      <c r="G102" s="86" t="s">
        <v>297</v>
      </c>
      <c r="H102" s="87" t="s">
        <v>326</v>
      </c>
      <c r="I102" s="84">
        <v>3948000</v>
      </c>
      <c r="J102" s="88">
        <f t="shared" si="38"/>
        <v>0</v>
      </c>
      <c r="K102" s="89">
        <v>0</v>
      </c>
      <c r="L102" s="89">
        <f t="shared" ref="L102" si="40">E102-K102</f>
        <v>3948000</v>
      </c>
      <c r="M102" s="84">
        <f t="shared" si="39"/>
        <v>0</v>
      </c>
      <c r="N102" s="117" t="s">
        <v>31</v>
      </c>
    </row>
    <row r="103" spans="1:14" ht="24.75" customHeight="1" x14ac:dyDescent="0.2">
      <c r="A103" s="223" t="s">
        <v>218</v>
      </c>
      <c r="B103" s="223"/>
      <c r="C103" s="73">
        <f>E103</f>
        <v>10179000</v>
      </c>
      <c r="D103" s="73">
        <f t="shared" ref="D103:E103" si="41">D104+D105</f>
        <v>0</v>
      </c>
      <c r="E103" s="73">
        <f t="shared" si="41"/>
        <v>10179000</v>
      </c>
      <c r="F103" s="26"/>
      <c r="G103" s="165"/>
      <c r="H103" s="165"/>
      <c r="I103" s="73">
        <f t="shared" ref="I103:J103" si="42">I104+I105</f>
        <v>10179000</v>
      </c>
      <c r="J103" s="73">
        <f t="shared" si="42"/>
        <v>0</v>
      </c>
      <c r="K103" s="75">
        <f>K104+K105</f>
        <v>0</v>
      </c>
      <c r="L103" s="75">
        <f>L104+L105</f>
        <v>10179000</v>
      </c>
      <c r="M103" s="74">
        <f>K103*100/E103</f>
        <v>0</v>
      </c>
      <c r="N103" s="25"/>
    </row>
    <row r="104" spans="1:14" ht="58.5" customHeight="1" x14ac:dyDescent="0.2">
      <c r="A104" s="5">
        <v>57</v>
      </c>
      <c r="B104" s="93" t="s">
        <v>254</v>
      </c>
      <c r="C104" s="45">
        <f>E104</f>
        <v>8790000</v>
      </c>
      <c r="D104" s="91"/>
      <c r="E104" s="91">
        <f>10000000-1210000</f>
        <v>8790000</v>
      </c>
      <c r="F104" s="86" t="s">
        <v>361</v>
      </c>
      <c r="G104" s="87" t="s">
        <v>300</v>
      </c>
      <c r="H104" s="87" t="s">
        <v>342</v>
      </c>
      <c r="I104" s="45">
        <v>8790000</v>
      </c>
      <c r="J104" s="84">
        <f>E104-I104</f>
        <v>0</v>
      </c>
      <c r="K104" s="89">
        <v>0</v>
      </c>
      <c r="L104" s="89">
        <v>8790000</v>
      </c>
      <c r="M104" s="84">
        <f>K104*100/E104</f>
        <v>0</v>
      </c>
      <c r="N104" s="119" t="s">
        <v>36</v>
      </c>
    </row>
    <row r="105" spans="1:14" ht="37.5" x14ac:dyDescent="0.2">
      <c r="A105" s="5">
        <v>58</v>
      </c>
      <c r="B105" s="83" t="s">
        <v>255</v>
      </c>
      <c r="C105" s="45">
        <f>E105</f>
        <v>1389000</v>
      </c>
      <c r="D105" s="91"/>
      <c r="E105" s="91">
        <f>2100000-711000</f>
        <v>1389000</v>
      </c>
      <c r="F105" s="86" t="s">
        <v>361</v>
      </c>
      <c r="G105" s="87" t="s">
        <v>300</v>
      </c>
      <c r="H105" s="87" t="s">
        <v>379</v>
      </c>
      <c r="I105" s="84">
        <v>1389000</v>
      </c>
      <c r="J105" s="84">
        <f>E105-I105</f>
        <v>0</v>
      </c>
      <c r="K105" s="89">
        <v>0</v>
      </c>
      <c r="L105" s="89">
        <v>1389000</v>
      </c>
      <c r="M105" s="84">
        <f>K105*100/E105</f>
        <v>0</v>
      </c>
      <c r="N105" s="119" t="s">
        <v>36</v>
      </c>
    </row>
    <row r="106" spans="1:14" ht="39.75" customHeight="1" x14ac:dyDescent="0.2">
      <c r="A106" s="221" t="s">
        <v>219</v>
      </c>
      <c r="B106" s="222"/>
      <c r="C106" s="73">
        <f>C107</f>
        <v>370500</v>
      </c>
      <c r="D106" s="73">
        <f t="shared" ref="D106:E107" si="43">D107</f>
        <v>370500</v>
      </c>
      <c r="E106" s="73">
        <f t="shared" si="43"/>
        <v>0</v>
      </c>
      <c r="F106" s="26"/>
      <c r="G106" s="165"/>
      <c r="H106" s="165"/>
      <c r="I106" s="73">
        <f t="shared" ref="I106:J107" si="44">I107</f>
        <v>0</v>
      </c>
      <c r="J106" s="73">
        <f t="shared" si="44"/>
        <v>0</v>
      </c>
      <c r="K106" s="75">
        <f>K107</f>
        <v>132885</v>
      </c>
      <c r="L106" s="75">
        <f>L107</f>
        <v>237615</v>
      </c>
      <c r="M106" s="75">
        <f>K106*100/C106</f>
        <v>35.866396761133601</v>
      </c>
      <c r="N106" s="25"/>
    </row>
    <row r="107" spans="1:14" ht="25.5" customHeight="1" x14ac:dyDescent="0.2">
      <c r="A107" s="224" t="s">
        <v>220</v>
      </c>
      <c r="B107" s="222"/>
      <c r="C107" s="73">
        <f>C108</f>
        <v>370500</v>
      </c>
      <c r="D107" s="73">
        <f t="shared" si="43"/>
        <v>370500</v>
      </c>
      <c r="E107" s="73">
        <f t="shared" si="43"/>
        <v>0</v>
      </c>
      <c r="F107" s="26"/>
      <c r="G107" s="165"/>
      <c r="H107" s="165"/>
      <c r="I107" s="73">
        <f t="shared" si="44"/>
        <v>0</v>
      </c>
      <c r="J107" s="73">
        <f t="shared" si="44"/>
        <v>0</v>
      </c>
      <c r="K107" s="75">
        <f>K108</f>
        <v>132885</v>
      </c>
      <c r="L107" s="75">
        <f>L108</f>
        <v>237615</v>
      </c>
      <c r="M107" s="75">
        <f>K107*100/C107</f>
        <v>35.866396761133601</v>
      </c>
      <c r="N107" s="25"/>
    </row>
    <row r="108" spans="1:14" ht="40.5" customHeight="1" x14ac:dyDescent="0.2">
      <c r="A108" s="5">
        <v>59</v>
      </c>
      <c r="B108" s="93" t="s">
        <v>256</v>
      </c>
      <c r="C108" s="45">
        <f t="shared" ref="C108:C151" si="45">D108+E108</f>
        <v>370500</v>
      </c>
      <c r="D108" s="97">
        <v>370500</v>
      </c>
      <c r="E108" s="94">
        <v>0</v>
      </c>
      <c r="F108" s="103" t="s">
        <v>198</v>
      </c>
      <c r="G108" s="87"/>
      <c r="H108" s="87"/>
      <c r="I108" s="84"/>
      <c r="J108" s="84"/>
      <c r="K108" s="89">
        <f>92890+2850+10145+16250+5550+5200</f>
        <v>132885</v>
      </c>
      <c r="L108" s="89">
        <f>C108-K108</f>
        <v>237615</v>
      </c>
      <c r="M108" s="89">
        <f>K108*100/C108</f>
        <v>35.866396761133601</v>
      </c>
      <c r="N108" s="90" t="s">
        <v>37</v>
      </c>
    </row>
    <row r="109" spans="1:14" ht="20.25" customHeight="1" x14ac:dyDescent="0.2">
      <c r="A109" s="221" t="s">
        <v>221</v>
      </c>
      <c r="B109" s="222"/>
      <c r="C109" s="73">
        <f>C110+C113</f>
        <v>3978300</v>
      </c>
      <c r="D109" s="73">
        <f t="shared" ref="D109:E109" si="46">D110+D113</f>
        <v>1348300</v>
      </c>
      <c r="E109" s="73">
        <f t="shared" si="46"/>
        <v>2630000</v>
      </c>
      <c r="F109" s="26"/>
      <c r="G109" s="165"/>
      <c r="H109" s="165"/>
      <c r="I109" s="73">
        <f t="shared" ref="I109:J109" si="47">I110+I113</f>
        <v>2630000</v>
      </c>
      <c r="J109" s="73">
        <f t="shared" si="47"/>
        <v>0</v>
      </c>
      <c r="K109" s="75">
        <f>K110+K113</f>
        <v>1429154</v>
      </c>
      <c r="L109" s="75">
        <f>L110+L113</f>
        <v>2549146</v>
      </c>
      <c r="M109" s="75">
        <f t="shared" ref="M109:M115" si="48">K109*100/C109</f>
        <v>35.923736269260736</v>
      </c>
      <c r="N109" s="100"/>
    </row>
    <row r="110" spans="1:14" ht="20.25" customHeight="1" x14ac:dyDescent="0.2">
      <c r="A110" s="224" t="s">
        <v>222</v>
      </c>
      <c r="B110" s="222"/>
      <c r="C110" s="73">
        <f>C111+C112</f>
        <v>3398300</v>
      </c>
      <c r="D110" s="73">
        <f t="shared" ref="D110:E110" si="49">D111+D112</f>
        <v>1348300</v>
      </c>
      <c r="E110" s="73">
        <f t="shared" si="49"/>
        <v>2050000</v>
      </c>
      <c r="F110" s="26"/>
      <c r="G110" s="165"/>
      <c r="H110" s="165"/>
      <c r="I110" s="73">
        <f t="shared" ref="I110:J110" si="50">I111+I112</f>
        <v>2050000</v>
      </c>
      <c r="J110" s="73">
        <f t="shared" si="50"/>
        <v>0</v>
      </c>
      <c r="K110" s="75">
        <f>K111+K112</f>
        <v>849154</v>
      </c>
      <c r="L110" s="75">
        <f>L111+L112</f>
        <v>2549146</v>
      </c>
      <c r="M110" s="75">
        <f t="shared" si="48"/>
        <v>24.987611452785217</v>
      </c>
      <c r="N110" s="100"/>
    </row>
    <row r="111" spans="1:14" ht="51.75" x14ac:dyDescent="0.2">
      <c r="A111" s="120">
        <v>60</v>
      </c>
      <c r="B111" s="121" t="s">
        <v>257</v>
      </c>
      <c r="C111" s="45">
        <f t="shared" si="45"/>
        <v>2050000</v>
      </c>
      <c r="D111" s="91"/>
      <c r="E111" s="91">
        <f>2500000-450000</f>
        <v>2050000</v>
      </c>
      <c r="F111" s="86" t="s">
        <v>361</v>
      </c>
      <c r="G111" s="87" t="s">
        <v>388</v>
      </c>
      <c r="H111" s="87" t="s">
        <v>389</v>
      </c>
      <c r="I111" s="84">
        <v>2050000</v>
      </c>
      <c r="J111" s="84">
        <f>E111-I111</f>
        <v>0</v>
      </c>
      <c r="K111" s="89">
        <v>0</v>
      </c>
      <c r="L111" s="89">
        <v>2050000</v>
      </c>
      <c r="M111" s="84">
        <f t="shared" si="48"/>
        <v>0</v>
      </c>
      <c r="N111" s="90" t="s">
        <v>38</v>
      </c>
    </row>
    <row r="112" spans="1:14" ht="48.75" customHeight="1" x14ac:dyDescent="0.2">
      <c r="A112" s="4">
        <v>61</v>
      </c>
      <c r="B112" s="121" t="s">
        <v>39</v>
      </c>
      <c r="C112" s="45">
        <f t="shared" si="45"/>
        <v>1348300</v>
      </c>
      <c r="D112" s="85">
        <v>1348300</v>
      </c>
      <c r="E112" s="94">
        <v>0</v>
      </c>
      <c r="F112" s="86" t="s">
        <v>262</v>
      </c>
      <c r="G112" s="87"/>
      <c r="H112" s="87"/>
      <c r="I112" s="84"/>
      <c r="J112" s="84"/>
      <c r="K112" s="89">
        <f>95000+366800+6000+22000-95000+14000+24500+8400+35000+211000+42000+84580+34874</f>
        <v>849154</v>
      </c>
      <c r="L112" s="89">
        <f t="shared" ref="L112" si="51">C112-K112</f>
        <v>499146</v>
      </c>
      <c r="M112" s="89">
        <f t="shared" si="48"/>
        <v>62.979603945709414</v>
      </c>
      <c r="N112" s="122" t="s">
        <v>40</v>
      </c>
    </row>
    <row r="113" spans="1:14" ht="21" x14ac:dyDescent="0.2">
      <c r="A113" s="223" t="s">
        <v>223</v>
      </c>
      <c r="B113" s="223"/>
      <c r="C113" s="73">
        <f>C114</f>
        <v>580000</v>
      </c>
      <c r="D113" s="73">
        <f t="shared" ref="D113:E113" si="52">D114</f>
        <v>0</v>
      </c>
      <c r="E113" s="73">
        <f t="shared" si="52"/>
        <v>580000</v>
      </c>
      <c r="F113" s="26"/>
      <c r="G113" s="165"/>
      <c r="H113" s="165"/>
      <c r="I113" s="73">
        <f t="shared" ref="I113:J113" si="53">I114</f>
        <v>580000</v>
      </c>
      <c r="J113" s="73">
        <f t="shared" si="53"/>
        <v>0</v>
      </c>
      <c r="K113" s="75">
        <f>K114</f>
        <v>580000</v>
      </c>
      <c r="L113" s="75">
        <f>L114</f>
        <v>0</v>
      </c>
      <c r="M113" s="75">
        <f t="shared" si="48"/>
        <v>100</v>
      </c>
      <c r="N113" s="100"/>
    </row>
    <row r="114" spans="1:14" ht="38.25" customHeight="1" x14ac:dyDescent="0.2">
      <c r="A114" s="5">
        <v>62</v>
      </c>
      <c r="B114" s="121" t="s">
        <v>132</v>
      </c>
      <c r="C114" s="45">
        <f t="shared" si="45"/>
        <v>580000</v>
      </c>
      <c r="D114" s="123">
        <v>0</v>
      </c>
      <c r="E114" s="94">
        <f>900000-320000</f>
        <v>580000</v>
      </c>
      <c r="F114" s="86" t="s">
        <v>416</v>
      </c>
      <c r="G114" s="87" t="s">
        <v>283</v>
      </c>
      <c r="H114" s="87" t="s">
        <v>327</v>
      </c>
      <c r="I114" s="84">
        <v>580000</v>
      </c>
      <c r="J114" s="88">
        <f>E114-I114</f>
        <v>0</v>
      </c>
      <c r="K114" s="89">
        <v>580000</v>
      </c>
      <c r="L114" s="89">
        <v>0</v>
      </c>
      <c r="M114" s="89">
        <v>100</v>
      </c>
      <c r="N114" s="90" t="s">
        <v>3</v>
      </c>
    </row>
    <row r="115" spans="1:14" ht="38.25" customHeight="1" x14ac:dyDescent="0.2">
      <c r="A115" s="221" t="s">
        <v>41</v>
      </c>
      <c r="B115" s="222"/>
      <c r="C115" s="73">
        <f>C116</f>
        <v>7847300</v>
      </c>
      <c r="D115" s="73">
        <f t="shared" ref="D115:E115" si="54">D116</f>
        <v>7847300</v>
      </c>
      <c r="E115" s="73">
        <f t="shared" si="54"/>
        <v>0</v>
      </c>
      <c r="F115" s="26"/>
      <c r="G115" s="165"/>
      <c r="H115" s="165"/>
      <c r="I115" s="73">
        <f t="shared" ref="I115:J115" si="55">I116</f>
        <v>0</v>
      </c>
      <c r="J115" s="73">
        <f t="shared" si="55"/>
        <v>0</v>
      </c>
      <c r="K115" s="75">
        <f>K116</f>
        <v>1250966</v>
      </c>
      <c r="L115" s="75">
        <f>L116</f>
        <v>6596334</v>
      </c>
      <c r="M115" s="75">
        <f t="shared" si="48"/>
        <v>15.941355625501766</v>
      </c>
      <c r="N115" s="100"/>
    </row>
    <row r="116" spans="1:14" ht="18.75" customHeight="1" x14ac:dyDescent="0.2">
      <c r="A116" s="221" t="s">
        <v>224</v>
      </c>
      <c r="B116" s="222"/>
      <c r="C116" s="73">
        <f>C117+C127</f>
        <v>7847300</v>
      </c>
      <c r="D116" s="73">
        <f t="shared" ref="D116:E116" si="56">D117+D127</f>
        <v>7847300</v>
      </c>
      <c r="E116" s="73">
        <f t="shared" si="56"/>
        <v>0</v>
      </c>
      <c r="F116" s="26"/>
      <c r="G116" s="165"/>
      <c r="H116" s="165"/>
      <c r="I116" s="73">
        <f t="shared" ref="I116:J116" si="57">I117+I127</f>
        <v>0</v>
      </c>
      <c r="J116" s="73">
        <f t="shared" si="57"/>
        <v>0</v>
      </c>
      <c r="K116" s="75">
        <f>K117+K127</f>
        <v>1250966</v>
      </c>
      <c r="L116" s="75">
        <f>L117+L127</f>
        <v>6596334</v>
      </c>
      <c r="M116" s="75">
        <f>K116*100/C117</f>
        <v>32.557738854332044</v>
      </c>
      <c r="N116" s="124"/>
    </row>
    <row r="117" spans="1:14" ht="21" customHeight="1" x14ac:dyDescent="0.2">
      <c r="A117" s="224" t="s">
        <v>225</v>
      </c>
      <c r="B117" s="222"/>
      <c r="C117" s="73">
        <f>C118+C119+C120+C121+C122</f>
        <v>3842300</v>
      </c>
      <c r="D117" s="73">
        <f t="shared" ref="D117:E117" si="58">D118+D119+D120+D121+D122</f>
        <v>3842300</v>
      </c>
      <c r="E117" s="73">
        <f t="shared" si="58"/>
        <v>0</v>
      </c>
      <c r="F117" s="26"/>
      <c r="G117" s="165"/>
      <c r="H117" s="165"/>
      <c r="I117" s="73">
        <f t="shared" ref="I117:J117" si="59">I118+I119+I120+I121+I122</f>
        <v>0</v>
      </c>
      <c r="J117" s="73">
        <f t="shared" si="59"/>
        <v>0</v>
      </c>
      <c r="K117" s="75">
        <f>K118+K119+K120+K121+K122</f>
        <v>1250246</v>
      </c>
      <c r="L117" s="75">
        <f>L118+L119+L120+L121+L122</f>
        <v>2592054</v>
      </c>
      <c r="M117" s="75">
        <f>K117*100/C117</f>
        <v>32.539000078078232</v>
      </c>
      <c r="N117" s="100"/>
    </row>
    <row r="118" spans="1:14" ht="37.5" customHeight="1" x14ac:dyDescent="0.2">
      <c r="A118" s="125">
        <v>63</v>
      </c>
      <c r="B118" s="126" t="s">
        <v>42</v>
      </c>
      <c r="C118" s="45">
        <f t="shared" si="45"/>
        <v>940200</v>
      </c>
      <c r="D118" s="127">
        <v>940200</v>
      </c>
      <c r="E118" s="128">
        <v>0</v>
      </c>
      <c r="F118" s="103" t="s">
        <v>198</v>
      </c>
      <c r="G118" s="87"/>
      <c r="H118" s="87"/>
      <c r="I118" s="84"/>
      <c r="J118" s="84"/>
      <c r="K118" s="89">
        <v>137520</v>
      </c>
      <c r="L118" s="89">
        <f>C118-K118</f>
        <v>802680</v>
      </c>
      <c r="M118" s="89">
        <f>K118*100/C118</f>
        <v>14.626675175494576</v>
      </c>
      <c r="N118" s="129" t="s">
        <v>12</v>
      </c>
    </row>
    <row r="119" spans="1:14" ht="37.5" customHeight="1" x14ac:dyDescent="0.2">
      <c r="A119" s="125">
        <v>64</v>
      </c>
      <c r="B119" s="109" t="s">
        <v>43</v>
      </c>
      <c r="C119" s="45">
        <f t="shared" si="45"/>
        <v>1339900</v>
      </c>
      <c r="D119" s="110">
        <v>1339900</v>
      </c>
      <c r="E119" s="94"/>
      <c r="F119" s="103" t="s">
        <v>198</v>
      </c>
      <c r="G119" s="87"/>
      <c r="H119" s="87"/>
      <c r="I119" s="84"/>
      <c r="J119" s="84"/>
      <c r="K119" s="89">
        <f>37590+32240-32240+409000+210680</f>
        <v>657270</v>
      </c>
      <c r="L119" s="89">
        <f t="shared" ref="L119:L122" si="60">C119-K119</f>
        <v>682630</v>
      </c>
      <c r="M119" s="89">
        <f t="shared" ref="M119:M122" si="61">K119*100/C119</f>
        <v>49.053660720949324</v>
      </c>
      <c r="N119" s="129" t="s">
        <v>44</v>
      </c>
    </row>
    <row r="120" spans="1:14" ht="43.5" customHeight="1" x14ac:dyDescent="0.2">
      <c r="A120" s="125">
        <v>65</v>
      </c>
      <c r="B120" s="130" t="s">
        <v>45</v>
      </c>
      <c r="C120" s="45">
        <f t="shared" si="45"/>
        <v>405700</v>
      </c>
      <c r="D120" s="110">
        <v>405700</v>
      </c>
      <c r="E120" s="94"/>
      <c r="F120" s="103" t="s">
        <v>198</v>
      </c>
      <c r="G120" s="87"/>
      <c r="H120" s="87"/>
      <c r="I120" s="84"/>
      <c r="J120" s="84"/>
      <c r="K120" s="89">
        <f>26400+2625+26400+600+135475+19800-26400+60000+39600+19800</f>
        <v>304300</v>
      </c>
      <c r="L120" s="89">
        <f t="shared" si="60"/>
        <v>101400</v>
      </c>
      <c r="M120" s="89">
        <f t="shared" si="61"/>
        <v>75.006162188809469</v>
      </c>
      <c r="N120" s="129" t="s">
        <v>44</v>
      </c>
    </row>
    <row r="121" spans="1:14" ht="39.75" customHeight="1" x14ac:dyDescent="0.2">
      <c r="A121" s="125">
        <v>66</v>
      </c>
      <c r="B121" s="130" t="s">
        <v>46</v>
      </c>
      <c r="C121" s="45">
        <f t="shared" si="45"/>
        <v>878500</v>
      </c>
      <c r="D121" s="84">
        <v>878500</v>
      </c>
      <c r="E121" s="94"/>
      <c r="F121" s="103" t="s">
        <v>198</v>
      </c>
      <c r="G121" s="87"/>
      <c r="H121" s="87"/>
      <c r="I121" s="84"/>
      <c r="J121" s="84"/>
      <c r="K121" s="89">
        <f>7500+16500</f>
        <v>24000</v>
      </c>
      <c r="L121" s="89">
        <f t="shared" si="60"/>
        <v>854500</v>
      </c>
      <c r="M121" s="89">
        <f t="shared" si="61"/>
        <v>2.7319294251565167</v>
      </c>
      <c r="N121" s="131" t="s">
        <v>47</v>
      </c>
    </row>
    <row r="122" spans="1:14" ht="40.5" customHeight="1" x14ac:dyDescent="0.2">
      <c r="A122" s="82">
        <v>67</v>
      </c>
      <c r="B122" s="109" t="s">
        <v>48</v>
      </c>
      <c r="C122" s="45">
        <f t="shared" si="45"/>
        <v>278000</v>
      </c>
      <c r="D122" s="110">
        <v>278000</v>
      </c>
      <c r="E122" s="94"/>
      <c r="F122" s="103" t="s">
        <v>198</v>
      </c>
      <c r="G122" s="87"/>
      <c r="H122" s="87"/>
      <c r="I122" s="84"/>
      <c r="J122" s="84"/>
      <c r="K122" s="89">
        <f>K123+K124+K125+K126</f>
        <v>127156</v>
      </c>
      <c r="L122" s="89">
        <f t="shared" si="60"/>
        <v>150844</v>
      </c>
      <c r="M122" s="89">
        <f t="shared" si="61"/>
        <v>45.73956834532374</v>
      </c>
      <c r="N122" s="131" t="s">
        <v>47</v>
      </c>
    </row>
    <row r="123" spans="1:14" ht="40.5" customHeight="1" x14ac:dyDescent="0.2">
      <c r="A123" s="82"/>
      <c r="B123" s="109" t="s">
        <v>331</v>
      </c>
      <c r="C123" s="45"/>
      <c r="D123" s="110"/>
      <c r="E123" s="94"/>
      <c r="F123" s="103"/>
      <c r="G123" s="87"/>
      <c r="H123" s="87"/>
      <c r="I123" s="84"/>
      <c r="J123" s="84"/>
      <c r="K123" s="89">
        <f>26000+26400+8000+8800</f>
        <v>69200</v>
      </c>
      <c r="L123" s="89"/>
      <c r="M123" s="84"/>
      <c r="N123" s="131"/>
    </row>
    <row r="124" spans="1:14" ht="40.5" customHeight="1" x14ac:dyDescent="0.2">
      <c r="A124" s="82"/>
      <c r="B124" s="109" t="s">
        <v>332</v>
      </c>
      <c r="C124" s="45"/>
      <c r="D124" s="110"/>
      <c r="E124" s="94"/>
      <c r="F124" s="103"/>
      <c r="G124" s="87"/>
      <c r="H124" s="87"/>
      <c r="I124" s="84"/>
      <c r="J124" s="84"/>
      <c r="K124" s="89">
        <v>11700</v>
      </c>
      <c r="L124" s="89"/>
      <c r="M124" s="84"/>
      <c r="N124" s="131"/>
    </row>
    <row r="125" spans="1:14" ht="56.25" x14ac:dyDescent="0.2">
      <c r="A125" s="82"/>
      <c r="B125" s="109" t="s">
        <v>333</v>
      </c>
      <c r="C125" s="45"/>
      <c r="D125" s="110"/>
      <c r="E125" s="94"/>
      <c r="F125" s="103"/>
      <c r="G125" s="87"/>
      <c r="H125" s="87"/>
      <c r="I125" s="84"/>
      <c r="J125" s="84"/>
      <c r="K125" s="89">
        <f>23800+11016+10000+1440</f>
        <v>46256</v>
      </c>
      <c r="L125" s="89"/>
      <c r="M125" s="84"/>
      <c r="N125" s="131"/>
    </row>
    <row r="126" spans="1:14" ht="24.75" customHeight="1" x14ac:dyDescent="0.2">
      <c r="A126" s="82"/>
      <c r="B126" s="109" t="s">
        <v>334</v>
      </c>
      <c r="C126" s="45"/>
      <c r="D126" s="110"/>
      <c r="E126" s="94"/>
      <c r="F126" s="103"/>
      <c r="G126" s="87"/>
      <c r="H126" s="87"/>
      <c r="I126" s="84"/>
      <c r="J126" s="84"/>
      <c r="K126" s="89"/>
      <c r="L126" s="89"/>
      <c r="M126" s="84"/>
      <c r="N126" s="131"/>
    </row>
    <row r="127" spans="1:14" ht="21" x14ac:dyDescent="0.2">
      <c r="A127" s="223" t="s">
        <v>226</v>
      </c>
      <c r="B127" s="223"/>
      <c r="C127" s="73">
        <f>C128+C129</f>
        <v>4005000</v>
      </c>
      <c r="D127" s="73">
        <f t="shared" ref="D127:E127" si="62">D128+D129</f>
        <v>4005000</v>
      </c>
      <c r="E127" s="73">
        <f t="shared" si="62"/>
        <v>0</v>
      </c>
      <c r="F127" s="26"/>
      <c r="G127" s="165"/>
      <c r="H127" s="165"/>
      <c r="I127" s="73">
        <f t="shared" ref="I127:J127" si="63">I128+I129</f>
        <v>0</v>
      </c>
      <c r="J127" s="73">
        <f t="shared" si="63"/>
        <v>0</v>
      </c>
      <c r="K127" s="75">
        <f>K128+K129</f>
        <v>720</v>
      </c>
      <c r="L127" s="75">
        <f>L128+L129</f>
        <v>4004280</v>
      </c>
      <c r="M127" s="75">
        <f t="shared" ref="M127:M143" si="64">K127*100/C127</f>
        <v>1.7977528089887642E-2</v>
      </c>
      <c r="N127" s="100"/>
    </row>
    <row r="128" spans="1:14" ht="36.75" customHeight="1" x14ac:dyDescent="0.2">
      <c r="A128" s="82">
        <v>68</v>
      </c>
      <c r="B128" s="109" t="s">
        <v>49</v>
      </c>
      <c r="C128" s="45">
        <f t="shared" si="45"/>
        <v>2247900</v>
      </c>
      <c r="D128" s="84">
        <v>2247900</v>
      </c>
      <c r="E128" s="94">
        <v>0</v>
      </c>
      <c r="F128" s="103" t="s">
        <v>198</v>
      </c>
      <c r="G128" s="87"/>
      <c r="H128" s="87"/>
      <c r="I128" s="84"/>
      <c r="J128" s="84"/>
      <c r="K128" s="89"/>
      <c r="L128" s="89">
        <f t="shared" ref="L128:L141" si="65">C128-K128</f>
        <v>2247900</v>
      </c>
      <c r="M128" s="84">
        <f t="shared" si="64"/>
        <v>0</v>
      </c>
      <c r="N128" s="111" t="s">
        <v>50</v>
      </c>
    </row>
    <row r="129" spans="1:14" ht="39" customHeight="1" x14ac:dyDescent="0.2">
      <c r="A129" s="125">
        <v>69</v>
      </c>
      <c r="B129" s="109" t="s">
        <v>51</v>
      </c>
      <c r="C129" s="45">
        <f t="shared" si="45"/>
        <v>1757100</v>
      </c>
      <c r="D129" s="110">
        <v>1757100</v>
      </c>
      <c r="E129" s="94">
        <v>0</v>
      </c>
      <c r="F129" s="103" t="s">
        <v>198</v>
      </c>
      <c r="G129" s="87"/>
      <c r="H129" s="87"/>
      <c r="I129" s="84"/>
      <c r="J129" s="84"/>
      <c r="K129" s="89">
        <v>720</v>
      </c>
      <c r="L129" s="89">
        <f t="shared" si="65"/>
        <v>1756380</v>
      </c>
      <c r="M129" s="89">
        <f t="shared" si="64"/>
        <v>4.0976609185589895E-2</v>
      </c>
      <c r="N129" s="111" t="s">
        <v>52</v>
      </c>
    </row>
    <row r="130" spans="1:14" ht="18.75" customHeight="1" x14ac:dyDescent="0.2">
      <c r="A130" s="240" t="s">
        <v>53</v>
      </c>
      <c r="B130" s="241"/>
      <c r="C130" s="73">
        <f>C131</f>
        <v>5765200</v>
      </c>
      <c r="D130" s="73">
        <f t="shared" ref="D130:E130" si="66">D131</f>
        <v>5390200</v>
      </c>
      <c r="E130" s="73">
        <f t="shared" si="66"/>
        <v>375000</v>
      </c>
      <c r="F130" s="26"/>
      <c r="G130" s="165"/>
      <c r="H130" s="165"/>
      <c r="I130" s="73">
        <f t="shared" ref="I130:J130" si="67">I131</f>
        <v>375000</v>
      </c>
      <c r="J130" s="73">
        <f t="shared" si="67"/>
        <v>0</v>
      </c>
      <c r="K130" s="75">
        <f>K131</f>
        <v>1215000</v>
      </c>
      <c r="L130" s="75">
        <f>L131</f>
        <v>4550200</v>
      </c>
      <c r="M130" s="75">
        <f t="shared" si="64"/>
        <v>21.074724207312844</v>
      </c>
      <c r="N130" s="100"/>
    </row>
    <row r="131" spans="1:14" ht="18.75" customHeight="1" x14ac:dyDescent="0.2">
      <c r="A131" s="221" t="s">
        <v>228</v>
      </c>
      <c r="B131" s="222"/>
      <c r="C131" s="73">
        <f>C132+C136+C138</f>
        <v>5765200</v>
      </c>
      <c r="D131" s="73">
        <f t="shared" ref="D131:E131" si="68">D132+D136+D138</f>
        <v>5390200</v>
      </c>
      <c r="E131" s="73">
        <f t="shared" si="68"/>
        <v>375000</v>
      </c>
      <c r="F131" s="26"/>
      <c r="G131" s="165"/>
      <c r="H131" s="165"/>
      <c r="I131" s="73">
        <f t="shared" ref="I131:J131" si="69">I132+I136+I138</f>
        <v>375000</v>
      </c>
      <c r="J131" s="73">
        <f t="shared" si="69"/>
        <v>0</v>
      </c>
      <c r="K131" s="75">
        <f>K132+K136+K138</f>
        <v>1215000</v>
      </c>
      <c r="L131" s="75">
        <f>L132+L136+L138</f>
        <v>4550200</v>
      </c>
      <c r="M131" s="75">
        <f t="shared" si="64"/>
        <v>21.074724207312844</v>
      </c>
      <c r="N131" s="124"/>
    </row>
    <row r="132" spans="1:14" ht="21" x14ac:dyDescent="0.2">
      <c r="A132" s="238" t="s">
        <v>227</v>
      </c>
      <c r="B132" s="239"/>
      <c r="C132" s="73">
        <f>C133</f>
        <v>2375000</v>
      </c>
      <c r="D132" s="73">
        <f t="shared" ref="D132:E132" si="70">D133</f>
        <v>2000000</v>
      </c>
      <c r="E132" s="73">
        <f t="shared" si="70"/>
        <v>375000</v>
      </c>
      <c r="F132" s="26"/>
      <c r="G132" s="165"/>
      <c r="H132" s="165"/>
      <c r="I132" s="73">
        <f t="shared" ref="I132:J132" si="71">I133</f>
        <v>375000</v>
      </c>
      <c r="J132" s="73">
        <f t="shared" si="71"/>
        <v>0</v>
      </c>
      <c r="K132" s="75">
        <f>K133</f>
        <v>1175000</v>
      </c>
      <c r="L132" s="75">
        <f>L133</f>
        <v>1200000</v>
      </c>
      <c r="M132" s="75">
        <f t="shared" si="64"/>
        <v>49.473684210526315</v>
      </c>
      <c r="N132" s="100"/>
    </row>
    <row r="133" spans="1:14" ht="35.25" customHeight="1" x14ac:dyDescent="0.2">
      <c r="A133" s="5">
        <v>70</v>
      </c>
      <c r="B133" s="132" t="s">
        <v>54</v>
      </c>
      <c r="C133" s="45">
        <f t="shared" si="45"/>
        <v>2375000</v>
      </c>
      <c r="D133" s="110">
        <f>D134</f>
        <v>2000000</v>
      </c>
      <c r="E133" s="94">
        <f>E135</f>
        <v>375000</v>
      </c>
      <c r="F133" s="95"/>
      <c r="G133" s="87"/>
      <c r="H133" s="87"/>
      <c r="I133" s="84">
        <f>I135</f>
        <v>375000</v>
      </c>
      <c r="J133" s="84">
        <f>J135</f>
        <v>0</v>
      </c>
      <c r="K133" s="89">
        <f>K134+K135</f>
        <v>1175000</v>
      </c>
      <c r="L133" s="89">
        <f t="shared" si="65"/>
        <v>1200000</v>
      </c>
      <c r="M133" s="89">
        <f t="shared" si="64"/>
        <v>49.473684210526315</v>
      </c>
      <c r="N133" s="111" t="s">
        <v>16</v>
      </c>
    </row>
    <row r="134" spans="1:14" ht="27" customHeight="1" x14ac:dyDescent="0.2">
      <c r="A134" s="5"/>
      <c r="B134" s="132" t="s">
        <v>83</v>
      </c>
      <c r="C134" s="45"/>
      <c r="D134" s="127">
        <v>2000000</v>
      </c>
      <c r="E134" s="128"/>
      <c r="F134" s="95"/>
      <c r="G134" s="87"/>
      <c r="H134" s="87"/>
      <c r="I134" s="84"/>
      <c r="J134" s="84"/>
      <c r="K134" s="89">
        <f>500000+300000</f>
        <v>800000</v>
      </c>
      <c r="L134" s="89">
        <f>D134-K134</f>
        <v>1200000</v>
      </c>
      <c r="M134" s="89">
        <f>K134*100/D134</f>
        <v>40</v>
      </c>
      <c r="N134" s="111"/>
    </row>
    <row r="135" spans="1:14" ht="40.5" customHeight="1" x14ac:dyDescent="0.2">
      <c r="A135" s="5"/>
      <c r="B135" s="132" t="s">
        <v>344</v>
      </c>
      <c r="C135" s="45">
        <f>D135+E135</f>
        <v>375000</v>
      </c>
      <c r="D135" s="127"/>
      <c r="E135" s="128">
        <v>375000</v>
      </c>
      <c r="F135" s="86" t="s">
        <v>416</v>
      </c>
      <c r="G135" s="87" t="s">
        <v>301</v>
      </c>
      <c r="H135" s="87" t="s">
        <v>302</v>
      </c>
      <c r="I135" s="84">
        <v>375000</v>
      </c>
      <c r="J135" s="84">
        <f>E135-I135</f>
        <v>0</v>
      </c>
      <c r="K135" s="89">
        <v>375000</v>
      </c>
      <c r="L135" s="89">
        <f t="shared" si="65"/>
        <v>0</v>
      </c>
      <c r="M135" s="89">
        <f t="shared" si="64"/>
        <v>100</v>
      </c>
      <c r="N135" s="111"/>
    </row>
    <row r="136" spans="1:14" ht="21" x14ac:dyDescent="0.2">
      <c r="A136" s="223" t="s">
        <v>229</v>
      </c>
      <c r="B136" s="223"/>
      <c r="C136" s="73">
        <f>C137</f>
        <v>3000000</v>
      </c>
      <c r="D136" s="73">
        <f t="shared" ref="D136:E136" si="72">D137</f>
        <v>3000000</v>
      </c>
      <c r="E136" s="73">
        <f t="shared" si="72"/>
        <v>0</v>
      </c>
      <c r="F136" s="26"/>
      <c r="G136" s="165"/>
      <c r="H136" s="165"/>
      <c r="I136" s="73">
        <f t="shared" ref="I136:J136" si="73">I137</f>
        <v>0</v>
      </c>
      <c r="J136" s="73">
        <f t="shared" si="73"/>
        <v>0</v>
      </c>
      <c r="K136" s="75">
        <f>K137</f>
        <v>0</v>
      </c>
      <c r="L136" s="75">
        <f t="shared" si="65"/>
        <v>3000000</v>
      </c>
      <c r="M136" s="74">
        <f t="shared" si="64"/>
        <v>0</v>
      </c>
      <c r="N136" s="100"/>
    </row>
    <row r="137" spans="1:14" ht="35.25" customHeight="1" x14ac:dyDescent="0.2">
      <c r="A137" s="5">
        <v>71</v>
      </c>
      <c r="B137" s="109" t="s">
        <v>55</v>
      </c>
      <c r="C137" s="45">
        <f t="shared" si="45"/>
        <v>3000000</v>
      </c>
      <c r="D137" s="133">
        <v>3000000</v>
      </c>
      <c r="E137" s="133"/>
      <c r="F137" s="196" t="s">
        <v>198</v>
      </c>
      <c r="G137" s="87"/>
      <c r="H137" s="87"/>
      <c r="I137" s="84"/>
      <c r="J137" s="84"/>
      <c r="K137" s="89"/>
      <c r="L137" s="89">
        <f t="shared" si="65"/>
        <v>3000000</v>
      </c>
      <c r="M137" s="84">
        <f t="shared" si="64"/>
        <v>0</v>
      </c>
      <c r="N137" s="111" t="s">
        <v>16</v>
      </c>
    </row>
    <row r="138" spans="1:14" ht="21" x14ac:dyDescent="0.2">
      <c r="A138" s="223" t="s">
        <v>230</v>
      </c>
      <c r="B138" s="223"/>
      <c r="C138" s="73">
        <f>C139</f>
        <v>390200</v>
      </c>
      <c r="D138" s="73">
        <f t="shared" ref="D138:E138" si="74">D139</f>
        <v>390200</v>
      </c>
      <c r="E138" s="73">
        <f t="shared" si="74"/>
        <v>0</v>
      </c>
      <c r="F138" s="26"/>
      <c r="G138" s="165"/>
      <c r="H138" s="165"/>
      <c r="I138" s="73">
        <f t="shared" ref="I138:J138" si="75">I139</f>
        <v>0</v>
      </c>
      <c r="J138" s="73">
        <f t="shared" si="75"/>
        <v>0</v>
      </c>
      <c r="K138" s="75">
        <f>K139</f>
        <v>40000</v>
      </c>
      <c r="L138" s="75">
        <f t="shared" si="65"/>
        <v>350200</v>
      </c>
      <c r="M138" s="75">
        <f t="shared" si="64"/>
        <v>10.251153254741158</v>
      </c>
      <c r="N138" s="100"/>
    </row>
    <row r="139" spans="1:14" ht="34.5" customHeight="1" x14ac:dyDescent="0.2">
      <c r="A139" s="5">
        <v>72</v>
      </c>
      <c r="B139" s="132" t="s">
        <v>56</v>
      </c>
      <c r="C139" s="45">
        <f t="shared" si="45"/>
        <v>390200</v>
      </c>
      <c r="D139" s="110">
        <v>390200</v>
      </c>
      <c r="E139" s="94"/>
      <c r="F139" s="103" t="s">
        <v>198</v>
      </c>
      <c r="G139" s="87"/>
      <c r="H139" s="87"/>
      <c r="I139" s="84"/>
      <c r="J139" s="84"/>
      <c r="K139" s="89">
        <f>38000+2000</f>
        <v>40000</v>
      </c>
      <c r="L139" s="89">
        <f t="shared" si="65"/>
        <v>350200</v>
      </c>
      <c r="M139" s="89">
        <f t="shared" si="64"/>
        <v>10.251153254741158</v>
      </c>
      <c r="N139" s="111" t="s">
        <v>52</v>
      </c>
    </row>
    <row r="140" spans="1:14" ht="38.25" customHeight="1" x14ac:dyDescent="0.2">
      <c r="A140" s="221" t="s">
        <v>57</v>
      </c>
      <c r="B140" s="222"/>
      <c r="C140" s="73">
        <f>C141</f>
        <v>5475300</v>
      </c>
      <c r="D140" s="73">
        <f t="shared" ref="D140:E141" si="76">D141</f>
        <v>5475300</v>
      </c>
      <c r="E140" s="73">
        <f t="shared" si="76"/>
        <v>0</v>
      </c>
      <c r="F140" s="26"/>
      <c r="G140" s="165"/>
      <c r="H140" s="165"/>
      <c r="I140" s="73">
        <f t="shared" ref="I140:J141" si="77">I141</f>
        <v>0</v>
      </c>
      <c r="J140" s="73">
        <f t="shared" si="77"/>
        <v>0</v>
      </c>
      <c r="K140" s="75">
        <f>K141</f>
        <v>1743048.66</v>
      </c>
      <c r="L140" s="75">
        <f t="shared" si="65"/>
        <v>3732251.34</v>
      </c>
      <c r="M140" s="75">
        <f t="shared" si="64"/>
        <v>31.834760835022738</v>
      </c>
      <c r="N140" s="25"/>
    </row>
    <row r="141" spans="1:14" ht="21" customHeight="1" x14ac:dyDescent="0.2">
      <c r="A141" s="221" t="s">
        <v>231</v>
      </c>
      <c r="B141" s="222"/>
      <c r="C141" s="73">
        <f>C142</f>
        <v>5475300</v>
      </c>
      <c r="D141" s="73">
        <f t="shared" si="76"/>
        <v>5475300</v>
      </c>
      <c r="E141" s="73">
        <f t="shared" si="76"/>
        <v>0</v>
      </c>
      <c r="F141" s="26"/>
      <c r="G141" s="165"/>
      <c r="H141" s="165"/>
      <c r="I141" s="73">
        <f t="shared" si="77"/>
        <v>0</v>
      </c>
      <c r="J141" s="73">
        <f t="shared" si="77"/>
        <v>0</v>
      </c>
      <c r="K141" s="75">
        <f>K142</f>
        <v>1743048.66</v>
      </c>
      <c r="L141" s="75">
        <f t="shared" si="65"/>
        <v>3732251.34</v>
      </c>
      <c r="M141" s="75">
        <f t="shared" si="64"/>
        <v>31.834760835022738</v>
      </c>
      <c r="N141" s="25"/>
    </row>
    <row r="142" spans="1:14" ht="22.5" customHeight="1" x14ac:dyDescent="0.2">
      <c r="A142" s="223" t="s">
        <v>232</v>
      </c>
      <c r="B142" s="223"/>
      <c r="C142" s="73">
        <f>D142+E142</f>
        <v>5475300</v>
      </c>
      <c r="D142" s="73">
        <f>D143+D144+D145+D146+D147+D148+D149+D150+D151</f>
        <v>5475300</v>
      </c>
      <c r="E142" s="80">
        <v>0</v>
      </c>
      <c r="F142" s="95"/>
      <c r="G142" s="165"/>
      <c r="H142" s="165"/>
      <c r="I142" s="73">
        <f>I143+I144+I145+I146+I147+I148+I149+I150+I151</f>
        <v>0</v>
      </c>
      <c r="J142" s="73">
        <f>J143+J144+J145+J146+J147+J148+J149+J150+J151</f>
        <v>0</v>
      </c>
      <c r="K142" s="75">
        <f>K143+K144+K145+K146+K147+K148+K149+K150+K151</f>
        <v>1743048.66</v>
      </c>
      <c r="L142" s="75">
        <f>L143+L144+L145+L146+L147+L148+L149+L150+L151</f>
        <v>3732251.34</v>
      </c>
      <c r="M142" s="75">
        <f t="shared" si="64"/>
        <v>31.834760835022738</v>
      </c>
      <c r="N142" s="25"/>
    </row>
    <row r="143" spans="1:14" ht="41.25" customHeight="1" x14ac:dyDescent="0.2">
      <c r="A143" s="5">
        <v>73</v>
      </c>
      <c r="B143" s="93" t="s">
        <v>58</v>
      </c>
      <c r="C143" s="45">
        <f t="shared" si="45"/>
        <v>500000</v>
      </c>
      <c r="D143" s="97">
        <v>500000</v>
      </c>
      <c r="E143" s="94"/>
      <c r="F143" s="103" t="s">
        <v>199</v>
      </c>
      <c r="G143" s="87"/>
      <c r="H143" s="87"/>
      <c r="I143" s="84"/>
      <c r="J143" s="84"/>
      <c r="K143" s="89"/>
      <c r="L143" s="89">
        <f>C143-K143</f>
        <v>500000</v>
      </c>
      <c r="M143" s="84">
        <f t="shared" si="64"/>
        <v>0</v>
      </c>
      <c r="N143" s="134" t="s">
        <v>59</v>
      </c>
    </row>
    <row r="144" spans="1:14" ht="55.5" customHeight="1" x14ac:dyDescent="0.2">
      <c r="A144" s="5">
        <v>74</v>
      </c>
      <c r="B144" s="93" t="s">
        <v>60</v>
      </c>
      <c r="C144" s="45">
        <f t="shared" si="45"/>
        <v>500000</v>
      </c>
      <c r="D144" s="97">
        <v>500000</v>
      </c>
      <c r="E144" s="94"/>
      <c r="F144" s="152" t="s">
        <v>416</v>
      </c>
      <c r="G144" s="87"/>
      <c r="H144" s="87"/>
      <c r="I144" s="84"/>
      <c r="J144" s="84"/>
      <c r="K144" s="89">
        <v>500000</v>
      </c>
      <c r="L144" s="89">
        <f t="shared" ref="L144:L151" si="78">C144-K144</f>
        <v>0</v>
      </c>
      <c r="M144" s="89">
        <f t="shared" ref="M144:M150" si="79">K144*100/C144</f>
        <v>100</v>
      </c>
      <c r="N144" s="119" t="s">
        <v>61</v>
      </c>
    </row>
    <row r="145" spans="1:15" ht="41.25" customHeight="1" x14ac:dyDescent="0.2">
      <c r="A145" s="5">
        <v>75</v>
      </c>
      <c r="B145" s="93" t="s">
        <v>62</v>
      </c>
      <c r="C145" s="45">
        <f t="shared" si="45"/>
        <v>600000</v>
      </c>
      <c r="D145" s="97">
        <v>600000</v>
      </c>
      <c r="E145" s="94"/>
      <c r="F145" s="103" t="s">
        <v>199</v>
      </c>
      <c r="G145" s="87"/>
      <c r="H145" s="87"/>
      <c r="I145" s="84"/>
      <c r="J145" s="84"/>
      <c r="K145" s="89"/>
      <c r="L145" s="89">
        <f t="shared" si="78"/>
        <v>600000</v>
      </c>
      <c r="M145" s="84">
        <f t="shared" si="79"/>
        <v>0</v>
      </c>
      <c r="N145" s="119" t="s">
        <v>59</v>
      </c>
    </row>
    <row r="146" spans="1:15" ht="39" customHeight="1" x14ac:dyDescent="0.2">
      <c r="A146" s="5">
        <v>76</v>
      </c>
      <c r="B146" s="83" t="s">
        <v>63</v>
      </c>
      <c r="C146" s="45">
        <f t="shared" si="45"/>
        <v>500000</v>
      </c>
      <c r="D146" s="97">
        <v>500000</v>
      </c>
      <c r="E146" s="94"/>
      <c r="F146" s="103" t="s">
        <v>199</v>
      </c>
      <c r="G146" s="87"/>
      <c r="H146" s="87"/>
      <c r="I146" s="84"/>
      <c r="J146" s="84"/>
      <c r="K146" s="89"/>
      <c r="L146" s="89">
        <f t="shared" si="78"/>
        <v>500000</v>
      </c>
      <c r="M146" s="84">
        <f t="shared" si="79"/>
        <v>0</v>
      </c>
      <c r="N146" s="119" t="s">
        <v>59</v>
      </c>
    </row>
    <row r="147" spans="1:15" ht="48.75" customHeight="1" x14ac:dyDescent="0.2">
      <c r="A147" s="5">
        <v>77</v>
      </c>
      <c r="B147" s="93" t="s">
        <v>64</v>
      </c>
      <c r="C147" s="45">
        <f t="shared" si="45"/>
        <v>500000</v>
      </c>
      <c r="D147" s="84">
        <v>500000</v>
      </c>
      <c r="E147" s="94"/>
      <c r="F147" s="115" t="s">
        <v>416</v>
      </c>
      <c r="G147" s="87"/>
      <c r="H147" s="87"/>
      <c r="I147" s="84"/>
      <c r="J147" s="84"/>
      <c r="K147" s="89">
        <v>500000</v>
      </c>
      <c r="L147" s="89">
        <f t="shared" si="78"/>
        <v>0</v>
      </c>
      <c r="M147" s="89">
        <f t="shared" si="79"/>
        <v>100</v>
      </c>
      <c r="N147" s="119" t="s">
        <v>59</v>
      </c>
    </row>
    <row r="148" spans="1:15" ht="48.75" customHeight="1" x14ac:dyDescent="0.2">
      <c r="A148" s="5">
        <v>78</v>
      </c>
      <c r="B148" s="93" t="s">
        <v>65</v>
      </c>
      <c r="C148" s="45">
        <f t="shared" si="45"/>
        <v>527500</v>
      </c>
      <c r="D148" s="97">
        <v>527500</v>
      </c>
      <c r="E148" s="94"/>
      <c r="F148" s="115" t="s">
        <v>199</v>
      </c>
      <c r="G148" s="87"/>
      <c r="H148" s="87"/>
      <c r="I148" s="84"/>
      <c r="J148" s="84"/>
      <c r="K148" s="89"/>
      <c r="L148" s="89">
        <f t="shared" si="78"/>
        <v>527500</v>
      </c>
      <c r="M148" s="84">
        <f t="shared" si="79"/>
        <v>0</v>
      </c>
      <c r="N148" s="119" t="s">
        <v>59</v>
      </c>
    </row>
    <row r="149" spans="1:15" ht="66.75" customHeight="1" x14ac:dyDescent="0.2">
      <c r="A149" s="5">
        <v>79</v>
      </c>
      <c r="B149" s="93" t="s">
        <v>66</v>
      </c>
      <c r="C149" s="45">
        <f t="shared" si="45"/>
        <v>500000</v>
      </c>
      <c r="D149" s="84">
        <v>500000</v>
      </c>
      <c r="E149" s="94"/>
      <c r="F149" s="115" t="s">
        <v>198</v>
      </c>
      <c r="G149" s="87"/>
      <c r="H149" s="87"/>
      <c r="I149" s="84"/>
      <c r="J149" s="84"/>
      <c r="K149" s="89">
        <v>22700</v>
      </c>
      <c r="L149" s="89">
        <f t="shared" si="78"/>
        <v>477300</v>
      </c>
      <c r="M149" s="89">
        <f>K149*100/C149</f>
        <v>4.54</v>
      </c>
      <c r="N149" s="119" t="s">
        <v>67</v>
      </c>
    </row>
    <row r="150" spans="1:15" ht="64.5" customHeight="1" x14ac:dyDescent="0.2">
      <c r="A150" s="5">
        <v>80</v>
      </c>
      <c r="B150" s="108" t="s">
        <v>68</v>
      </c>
      <c r="C150" s="45">
        <f t="shared" si="45"/>
        <v>500000</v>
      </c>
      <c r="D150" s="84">
        <v>500000</v>
      </c>
      <c r="E150" s="94"/>
      <c r="F150" s="115" t="s">
        <v>198</v>
      </c>
      <c r="G150" s="87"/>
      <c r="H150" s="87"/>
      <c r="I150" s="84"/>
      <c r="J150" s="84"/>
      <c r="K150" s="89"/>
      <c r="L150" s="89">
        <f>C150-K150</f>
        <v>500000</v>
      </c>
      <c r="M150" s="84">
        <f t="shared" si="79"/>
        <v>0</v>
      </c>
      <c r="N150" s="119" t="s">
        <v>69</v>
      </c>
    </row>
    <row r="151" spans="1:15" ht="66" customHeight="1" x14ac:dyDescent="0.2">
      <c r="A151" s="5">
        <v>81</v>
      </c>
      <c r="B151" s="135" t="s">
        <v>70</v>
      </c>
      <c r="C151" s="45">
        <f t="shared" si="45"/>
        <v>1347800</v>
      </c>
      <c r="D151" s="84">
        <v>1347800</v>
      </c>
      <c r="E151" s="94"/>
      <c r="F151" s="115" t="s">
        <v>198</v>
      </c>
      <c r="G151" s="87"/>
      <c r="H151" s="87"/>
      <c r="I151" s="84"/>
      <c r="J151" s="84"/>
      <c r="K151" s="89">
        <f>28000+28800+68000+44000+84000+7038.46+13360+9565.2+6000+30000+30000+2000+2000+3500+24000+45000+9600+50000+29985+100000+11000+14000+7500+30000+34000+9000</f>
        <v>720348.65999999992</v>
      </c>
      <c r="L151" s="89">
        <f t="shared" si="78"/>
        <v>627451.34000000008</v>
      </c>
      <c r="M151" s="89">
        <f>K151*100/C151</f>
        <v>53.446257604985895</v>
      </c>
      <c r="N151" s="119" t="s">
        <v>71</v>
      </c>
    </row>
    <row r="152" spans="1:15" ht="24.75" customHeight="1" x14ac:dyDescent="0.2">
      <c r="A152" s="5"/>
      <c r="B152" s="136" t="s">
        <v>72</v>
      </c>
      <c r="C152" s="73">
        <v>8000000</v>
      </c>
      <c r="D152" s="73">
        <v>8000000</v>
      </c>
      <c r="E152" s="74">
        <v>0</v>
      </c>
      <c r="F152" s="137"/>
      <c r="G152" s="166"/>
      <c r="H152" s="166"/>
      <c r="I152" s="138"/>
      <c r="J152" s="138">
        <v>0</v>
      </c>
      <c r="K152" s="139">
        <f>'งบ 8 ล้าน'!F6</f>
        <v>2249258.44</v>
      </c>
      <c r="L152" s="139">
        <f>C152-K152</f>
        <v>5750741.5600000005</v>
      </c>
      <c r="M152" s="75">
        <f>K152*100/C152</f>
        <v>28.115730500000002</v>
      </c>
      <c r="N152" s="14"/>
    </row>
    <row r="153" spans="1:15" s="173" customFormat="1" ht="24.75" customHeight="1" x14ac:dyDescent="0.2">
      <c r="A153" s="5"/>
      <c r="B153" s="174" t="s">
        <v>405</v>
      </c>
      <c r="C153" s="175">
        <f>D153+E153</f>
        <v>7690000</v>
      </c>
      <c r="D153" s="175">
        <f>D154+D155+D157</f>
        <v>1694500</v>
      </c>
      <c r="E153" s="176">
        <f>E156+E157+E158+E159</f>
        <v>5995500</v>
      </c>
      <c r="F153" s="177"/>
      <c r="G153" s="178"/>
      <c r="H153" s="178"/>
      <c r="I153" s="179"/>
      <c r="J153" s="179"/>
      <c r="K153" s="180">
        <f>K154+K155</f>
        <v>720000</v>
      </c>
      <c r="L153" s="180">
        <f>L154+L155</f>
        <v>580000</v>
      </c>
      <c r="M153" s="181"/>
      <c r="N153" s="182"/>
    </row>
    <row r="154" spans="1:15" s="172" customFormat="1" ht="34.5" x14ac:dyDescent="0.2">
      <c r="A154" s="82"/>
      <c r="B154" s="190" t="s">
        <v>449</v>
      </c>
      <c r="C154" s="45">
        <f>D154</f>
        <v>500000</v>
      </c>
      <c r="D154" s="45">
        <v>500000</v>
      </c>
      <c r="E154" s="84"/>
      <c r="F154" s="137" t="s">
        <v>371</v>
      </c>
      <c r="G154" s="169"/>
      <c r="H154" s="169"/>
      <c r="I154" s="170"/>
      <c r="J154" s="170"/>
      <c r="K154" s="171">
        <v>490000</v>
      </c>
      <c r="L154" s="171">
        <f>D154-K154</f>
        <v>10000</v>
      </c>
      <c r="M154" s="89">
        <f>K154*100/D154</f>
        <v>98</v>
      </c>
      <c r="N154" s="26" t="s">
        <v>12</v>
      </c>
      <c r="O154" s="195"/>
    </row>
    <row r="155" spans="1:15" s="172" customFormat="1" ht="34.5" customHeight="1" x14ac:dyDescent="0.2">
      <c r="A155" s="82"/>
      <c r="B155" s="190" t="s">
        <v>450</v>
      </c>
      <c r="C155" s="45">
        <f>D155</f>
        <v>800000</v>
      </c>
      <c r="D155" s="45">
        <v>800000</v>
      </c>
      <c r="E155" s="84"/>
      <c r="F155" s="103" t="s">
        <v>198</v>
      </c>
      <c r="G155" s="169"/>
      <c r="H155" s="169"/>
      <c r="I155" s="170"/>
      <c r="J155" s="170"/>
      <c r="K155" s="171">
        <f>30000+30000+30000+30000+30000+30000+30000+14000+1000+5000</f>
        <v>230000</v>
      </c>
      <c r="L155" s="171">
        <f>D155-K155</f>
        <v>570000</v>
      </c>
      <c r="M155" s="89">
        <f>K155*100/D155</f>
        <v>28.75</v>
      </c>
      <c r="N155" s="87" t="s">
        <v>407</v>
      </c>
    </row>
    <row r="156" spans="1:15" s="172" customFormat="1" ht="40.5" customHeight="1" x14ac:dyDescent="0.35">
      <c r="A156" s="82"/>
      <c r="B156" s="189" t="s">
        <v>451</v>
      </c>
      <c r="C156" s="45">
        <f>D156+E156</f>
        <v>450000</v>
      </c>
      <c r="D156" s="45"/>
      <c r="E156" s="84">
        <v>450000</v>
      </c>
      <c r="F156" s="103" t="s">
        <v>198</v>
      </c>
      <c r="G156" s="169"/>
      <c r="H156" s="169"/>
      <c r="I156" s="170"/>
      <c r="J156" s="170"/>
      <c r="K156" s="171">
        <v>0</v>
      </c>
      <c r="L156" s="171">
        <f>E156-K156</f>
        <v>450000</v>
      </c>
      <c r="M156" s="89">
        <f>K156*100/E156</f>
        <v>0</v>
      </c>
      <c r="N156" s="87" t="s">
        <v>38</v>
      </c>
    </row>
    <row r="157" spans="1:15" s="172" customFormat="1" ht="42" customHeight="1" x14ac:dyDescent="0.35">
      <c r="A157" s="82"/>
      <c r="B157" s="189" t="s">
        <v>452</v>
      </c>
      <c r="C157" s="45">
        <f t="shared" ref="C157:C159" si="80">D157+E157</f>
        <v>450000</v>
      </c>
      <c r="D157" s="45">
        <v>394500</v>
      </c>
      <c r="E157" s="84">
        <v>55500</v>
      </c>
      <c r="F157" s="103" t="s">
        <v>198</v>
      </c>
      <c r="G157" s="169"/>
      <c r="H157" s="169"/>
      <c r="I157" s="170"/>
      <c r="J157" s="170"/>
      <c r="K157" s="171">
        <v>0</v>
      </c>
      <c r="L157" s="171">
        <f>C157-K157</f>
        <v>450000</v>
      </c>
      <c r="M157" s="89">
        <f>K157*100/C157</f>
        <v>0</v>
      </c>
      <c r="N157" s="87" t="s">
        <v>7</v>
      </c>
    </row>
    <row r="158" spans="1:15" s="172" customFormat="1" ht="53.25" hidden="1" customHeight="1" x14ac:dyDescent="0.2">
      <c r="A158" s="82"/>
      <c r="B158" s="219" t="s">
        <v>453</v>
      </c>
      <c r="C158" s="45">
        <f t="shared" si="80"/>
        <v>4000000</v>
      </c>
      <c r="D158" s="45"/>
      <c r="E158" s="84">
        <v>4000000</v>
      </c>
      <c r="F158" s="220" t="s">
        <v>199</v>
      </c>
      <c r="G158" s="169"/>
      <c r="H158" s="169"/>
      <c r="I158" s="170"/>
      <c r="J158" s="170"/>
      <c r="K158" s="171">
        <v>0</v>
      </c>
      <c r="L158" s="171">
        <f>E158-K158</f>
        <v>4000000</v>
      </c>
      <c r="M158" s="89">
        <f>K158*100/E158</f>
        <v>0</v>
      </c>
      <c r="N158" s="26" t="s">
        <v>31</v>
      </c>
    </row>
    <row r="159" spans="1:15" s="172" customFormat="1" ht="51.75" hidden="1" customHeight="1" x14ac:dyDescent="0.2">
      <c r="A159" s="82"/>
      <c r="B159" s="219" t="s">
        <v>454</v>
      </c>
      <c r="C159" s="45">
        <f t="shared" si="80"/>
        <v>1490000</v>
      </c>
      <c r="D159" s="45"/>
      <c r="E159" s="84">
        <v>1490000</v>
      </c>
      <c r="F159" s="220" t="s">
        <v>199</v>
      </c>
      <c r="G159" s="169"/>
      <c r="H159" s="169"/>
      <c r="I159" s="170"/>
      <c r="J159" s="170"/>
      <c r="K159" s="171">
        <v>0</v>
      </c>
      <c r="L159" s="171">
        <f>E159-K159</f>
        <v>1490000</v>
      </c>
      <c r="M159" s="89">
        <f>K159*100/E159</f>
        <v>0</v>
      </c>
      <c r="N159" s="26" t="s">
        <v>31</v>
      </c>
    </row>
    <row r="160" spans="1:15" ht="21" x14ac:dyDescent="0.35">
      <c r="A160" s="8"/>
      <c r="B160" s="53" t="s">
        <v>114</v>
      </c>
      <c r="C160" s="140">
        <f>C8+C115+C130+C140+C152+C153</f>
        <v>185998300</v>
      </c>
      <c r="D160" s="140">
        <f>D8+D115+D130+D140+D152+D153</f>
        <v>49056600</v>
      </c>
      <c r="E160" s="140">
        <f>E8+E115+E130+E140+E152+E153</f>
        <v>136941700</v>
      </c>
      <c r="F160" s="141"/>
      <c r="G160" s="162"/>
      <c r="H160" s="162"/>
      <c r="I160" s="142">
        <f>I8+I115+I130+I140+I152</f>
        <v>128969016.7</v>
      </c>
      <c r="J160" s="142">
        <f>J8+J115+J130+J140+J152</f>
        <v>1891183.3000000007</v>
      </c>
      <c r="K160" s="142">
        <f>K8+K115+K130+K140+K152+K153</f>
        <v>33576756.520000003</v>
      </c>
      <c r="L160" s="142">
        <f>L8+L115+L130+L140+L152+L153</f>
        <v>144140360.18000001</v>
      </c>
      <c r="M160" s="143">
        <f>K160*100/P6</f>
        <v>18.694599587878333</v>
      </c>
      <c r="N160" s="53"/>
    </row>
  </sheetData>
  <mergeCells count="44">
    <mergeCell ref="G66:G67"/>
    <mergeCell ref="A142:B142"/>
    <mergeCell ref="A132:B132"/>
    <mergeCell ref="A136:B136"/>
    <mergeCell ref="A138:B138"/>
    <mergeCell ref="A130:B130"/>
    <mergeCell ref="A131:B131"/>
    <mergeCell ref="A140:B140"/>
    <mergeCell ref="A141:B141"/>
    <mergeCell ref="A127:B127"/>
    <mergeCell ref="A97:B97"/>
    <mergeCell ref="A103:B103"/>
    <mergeCell ref="A107:B107"/>
    <mergeCell ref="A110:B110"/>
    <mergeCell ref="A113:B113"/>
    <mergeCell ref="A117:B117"/>
    <mergeCell ref="A106:B106"/>
    <mergeCell ref="A109:B109"/>
    <mergeCell ref="A115:B115"/>
    <mergeCell ref="A116:B116"/>
    <mergeCell ref="A1:N1"/>
    <mergeCell ref="A2:N2"/>
    <mergeCell ref="A3:N3"/>
    <mergeCell ref="A5:A6"/>
    <mergeCell ref="B5:B6"/>
    <mergeCell ref="K5:M5"/>
    <mergeCell ref="C5:E5"/>
    <mergeCell ref="N5:N6"/>
    <mergeCell ref="F5:J5"/>
    <mergeCell ref="H4:N4"/>
    <mergeCell ref="A8:B8"/>
    <mergeCell ref="A7:B7"/>
    <mergeCell ref="A9:B9"/>
    <mergeCell ref="A40:B40"/>
    <mergeCell ref="A79:B79"/>
    <mergeCell ref="A96:B96"/>
    <mergeCell ref="A82:B82"/>
    <mergeCell ref="A10:B10"/>
    <mergeCell ref="A31:B31"/>
    <mergeCell ref="A34:B34"/>
    <mergeCell ref="A41:B41"/>
    <mergeCell ref="A58:B58"/>
    <mergeCell ref="A75:B75"/>
    <mergeCell ref="A80:B80"/>
  </mergeCells>
  <pageMargins left="0.19685039370078741" right="0" top="0.19685039370078741" bottom="0" header="0.19685039370078741" footer="0.11811023622047245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90" zoomScaleNormal="90" workbookViewId="0">
      <pane xSplit="7" ySplit="8" topLeftCell="H75" activePane="bottomRight" state="frozen"/>
      <selection pane="topRight" activeCell="G1" sqref="G1"/>
      <selection pane="bottomLeft" activeCell="A8" sqref="A8"/>
      <selection pane="bottomRight" sqref="A1:N1"/>
    </sheetView>
  </sheetViews>
  <sheetFormatPr defaultRowHeight="14.25" x14ac:dyDescent="0.2"/>
  <cols>
    <col min="1" max="1" width="3" style="1" customWidth="1"/>
    <col min="2" max="2" width="37.625" style="1" customWidth="1"/>
    <col min="3" max="3" width="12.25" style="1" customWidth="1"/>
    <col min="4" max="4" width="12.625" style="1" customWidth="1"/>
    <col min="5" max="5" width="12.125" style="1" customWidth="1"/>
    <col min="6" max="6" width="9.875" style="1" customWidth="1"/>
    <col min="7" max="7" width="9.5" style="1" customWidth="1"/>
    <col min="8" max="8" width="10.375" style="1" customWidth="1"/>
    <col min="9" max="9" width="11.875" style="1" customWidth="1"/>
    <col min="10" max="10" width="10.125" style="1" customWidth="1"/>
    <col min="11" max="11" width="11.125" style="1" customWidth="1"/>
    <col min="12" max="12" width="12" style="1" customWidth="1"/>
    <col min="13" max="13" width="7.25" style="1" customWidth="1"/>
    <col min="14" max="14" width="14.375" style="1" customWidth="1"/>
    <col min="15" max="16384" width="9" style="1"/>
  </cols>
  <sheetData>
    <row r="1" spans="1:16" ht="21" customHeight="1" x14ac:dyDescent="0.35">
      <c r="A1" s="242" t="s">
        <v>142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6" ht="18" customHeight="1" x14ac:dyDescent="0.35">
      <c r="A2" s="242" t="s">
        <v>77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6" ht="22.5" customHeight="1" x14ac:dyDescent="0.35">
      <c r="A3" s="242" t="s">
        <v>116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6" ht="21" x14ac:dyDescent="0.45">
      <c r="J4" s="234" t="s">
        <v>418</v>
      </c>
      <c r="K4" s="234"/>
      <c r="L4" s="234"/>
      <c r="M4" s="234"/>
      <c r="N4" s="234"/>
      <c r="O4" s="167"/>
      <c r="P4" s="167"/>
    </row>
    <row r="5" spans="1:16" ht="19.5" customHeight="1" x14ac:dyDescent="0.2">
      <c r="A5" s="243" t="s">
        <v>78</v>
      </c>
      <c r="B5" s="243" t="s">
        <v>79</v>
      </c>
      <c r="C5" s="243" t="s">
        <v>80</v>
      </c>
      <c r="D5" s="243"/>
      <c r="E5" s="243"/>
      <c r="F5" s="245" t="s">
        <v>193</v>
      </c>
      <c r="G5" s="246"/>
      <c r="H5" s="246"/>
      <c r="I5" s="246"/>
      <c r="J5" s="247"/>
      <c r="K5" s="243" t="s">
        <v>74</v>
      </c>
      <c r="L5" s="243"/>
      <c r="M5" s="243"/>
      <c r="N5" s="244" t="s">
        <v>81</v>
      </c>
      <c r="O5" s="2"/>
    </row>
    <row r="6" spans="1:16" ht="40.5" customHeight="1" x14ac:dyDescent="0.2">
      <c r="A6" s="243"/>
      <c r="B6" s="243"/>
      <c r="C6" s="47" t="s">
        <v>114</v>
      </c>
      <c r="D6" s="48" t="s">
        <v>82</v>
      </c>
      <c r="E6" s="48" t="s">
        <v>83</v>
      </c>
      <c r="F6" s="49" t="s">
        <v>197</v>
      </c>
      <c r="G6" s="50" t="s">
        <v>73</v>
      </c>
      <c r="H6" s="49" t="s">
        <v>258</v>
      </c>
      <c r="I6" s="49" t="s">
        <v>84</v>
      </c>
      <c r="J6" s="49" t="s">
        <v>303</v>
      </c>
      <c r="K6" s="50" t="s">
        <v>259</v>
      </c>
      <c r="L6" s="50" t="s">
        <v>75</v>
      </c>
      <c r="M6" s="50" t="s">
        <v>76</v>
      </c>
      <c r="N6" s="244"/>
      <c r="O6" s="2"/>
    </row>
    <row r="7" spans="1:16" ht="26.25" customHeight="1" x14ac:dyDescent="0.3">
      <c r="A7" s="50"/>
      <c r="B7" s="50" t="s">
        <v>143</v>
      </c>
      <c r="C7" s="51">
        <f>D7+E7</f>
        <v>93962000</v>
      </c>
      <c r="D7" s="52">
        <f>D8+D38+D47</f>
        <v>74923700</v>
      </c>
      <c r="E7" s="52">
        <f>E8+E38+E47</f>
        <v>19038300</v>
      </c>
      <c r="F7" s="52"/>
      <c r="G7" s="53"/>
      <c r="H7" s="53"/>
      <c r="I7" s="52">
        <f>I8+I38+I47</f>
        <v>74166151</v>
      </c>
      <c r="J7" s="52">
        <f>J8+J38+J47</f>
        <v>757549</v>
      </c>
      <c r="K7" s="54">
        <f>K8+K38+K47</f>
        <v>1944294</v>
      </c>
      <c r="L7" s="54">
        <f>C7-K7</f>
        <v>92017706</v>
      </c>
      <c r="M7" s="55">
        <f>K7*100/C7</f>
        <v>2.0692343713416061</v>
      </c>
      <c r="N7" s="56"/>
      <c r="O7" s="2"/>
    </row>
    <row r="8" spans="1:16" ht="39" customHeight="1" x14ac:dyDescent="0.35">
      <c r="A8" s="57"/>
      <c r="B8" s="58" t="s">
        <v>85</v>
      </c>
      <c r="C8" s="52">
        <f>C9+C34+C36</f>
        <v>38467300</v>
      </c>
      <c r="D8" s="52">
        <f t="shared" ref="D8:E8" si="0">D9+D34+D36</f>
        <v>27829000</v>
      </c>
      <c r="E8" s="52">
        <f t="shared" si="0"/>
        <v>10638300</v>
      </c>
      <c r="F8" s="64" t="s">
        <v>262</v>
      </c>
      <c r="G8" s="59"/>
      <c r="H8" s="59"/>
      <c r="I8" s="59">
        <f>I9+I34+I36</f>
        <v>27661000</v>
      </c>
      <c r="J8" s="59">
        <f>J9+J34+J36</f>
        <v>168000</v>
      </c>
      <c r="K8" s="52">
        <f>K9+K34+K36</f>
        <v>1633294</v>
      </c>
      <c r="L8" s="52">
        <f>L9+L34+L36</f>
        <v>36834006</v>
      </c>
      <c r="M8" s="59">
        <f>K8*100/C8</f>
        <v>4.2459283599316819</v>
      </c>
      <c r="N8" s="57"/>
      <c r="O8" s="3"/>
    </row>
    <row r="9" spans="1:16" ht="39.75" customHeight="1" x14ac:dyDescent="0.35">
      <c r="A9" s="60">
        <v>1</v>
      </c>
      <c r="B9" s="61" t="s">
        <v>86</v>
      </c>
      <c r="C9" s="52">
        <f>C10+C26+C27+C28+C32+C33</f>
        <v>11567300</v>
      </c>
      <c r="D9" s="52">
        <f t="shared" ref="D9:E9" si="1">D10+D26+D27+D28+D32+D33</f>
        <v>929000</v>
      </c>
      <c r="E9" s="52">
        <f t="shared" si="1"/>
        <v>10638300</v>
      </c>
      <c r="F9" s="62"/>
      <c r="G9" s="59"/>
      <c r="H9" s="59"/>
      <c r="I9" s="59">
        <f>I10+I26+I27+I28+I32+I33</f>
        <v>926000</v>
      </c>
      <c r="J9" s="59">
        <f>J10+J26+J27+J28+J32+J33</f>
        <v>3000</v>
      </c>
      <c r="K9" s="52">
        <f>K10+K26+K27+K28+K32+K33</f>
        <v>1633294</v>
      </c>
      <c r="L9" s="52">
        <f>L10+L26+L27+L28+L32+L33</f>
        <v>9934006</v>
      </c>
      <c r="M9" s="57"/>
      <c r="N9" s="9" t="s">
        <v>140</v>
      </c>
      <c r="O9" s="3"/>
    </row>
    <row r="10" spans="1:16" ht="25.5" customHeight="1" x14ac:dyDescent="0.35">
      <c r="A10" s="31"/>
      <c r="B10" s="8" t="s">
        <v>87</v>
      </c>
      <c r="C10" s="10">
        <f>C11+C14+C21+C25</f>
        <v>4986104</v>
      </c>
      <c r="D10" s="10">
        <f t="shared" ref="D10:E10" si="2">D11+D14+D21+D25</f>
        <v>889000</v>
      </c>
      <c r="E10" s="10">
        <f t="shared" si="2"/>
        <v>4097104</v>
      </c>
      <c r="F10" s="10"/>
      <c r="G10" s="7"/>
      <c r="H10" s="7"/>
      <c r="I10" s="7">
        <f>I11+I14+I21+I25</f>
        <v>886000</v>
      </c>
      <c r="J10" s="7">
        <f>J11+J14+J21+J25</f>
        <v>3000</v>
      </c>
      <c r="K10" s="10">
        <f>K11+K14+K21+K25</f>
        <v>1218044</v>
      </c>
      <c r="L10" s="10">
        <f>L11+L14+L21+L25</f>
        <v>3768060</v>
      </c>
      <c r="M10" s="156">
        <f>K10*100/C10</f>
        <v>24.428772444377415</v>
      </c>
      <c r="N10" s="63"/>
      <c r="O10" s="3"/>
    </row>
    <row r="11" spans="1:16" ht="24.75" customHeight="1" x14ac:dyDescent="0.35">
      <c r="A11" s="31"/>
      <c r="B11" s="8" t="s">
        <v>88</v>
      </c>
      <c r="C11" s="10">
        <v>693600</v>
      </c>
      <c r="D11" s="10">
        <v>0</v>
      </c>
      <c r="E11" s="10">
        <v>693600</v>
      </c>
      <c r="F11" s="10"/>
      <c r="G11" s="7"/>
      <c r="H11" s="7"/>
      <c r="I11" s="7"/>
      <c r="J11" s="7">
        <f>J12+J13</f>
        <v>0</v>
      </c>
      <c r="K11" s="7">
        <f>K12+K13</f>
        <v>41400</v>
      </c>
      <c r="L11" s="7">
        <f>E11-K11</f>
        <v>652200</v>
      </c>
      <c r="M11" s="10">
        <f>K11*100/E11</f>
        <v>5.968858131487889</v>
      </c>
      <c r="N11" s="9" t="s">
        <v>118</v>
      </c>
      <c r="O11" s="3"/>
    </row>
    <row r="12" spans="1:16" ht="39" customHeight="1" x14ac:dyDescent="0.35">
      <c r="A12" s="31"/>
      <c r="B12" s="6" t="s">
        <v>89</v>
      </c>
      <c r="C12" s="10"/>
      <c r="D12" s="10"/>
      <c r="E12" s="10"/>
      <c r="F12" s="10"/>
      <c r="G12" s="7"/>
      <c r="H12" s="7"/>
      <c r="I12" s="7"/>
      <c r="J12" s="7"/>
      <c r="K12" s="7">
        <v>41400</v>
      </c>
      <c r="L12" s="7"/>
      <c r="M12" s="161"/>
      <c r="N12" s="63"/>
      <c r="O12" s="3"/>
    </row>
    <row r="13" spans="1:16" ht="38.25" x14ac:dyDescent="0.35">
      <c r="A13" s="31"/>
      <c r="B13" s="6" t="s">
        <v>90</v>
      </c>
      <c r="C13" s="10"/>
      <c r="D13" s="10"/>
      <c r="E13" s="10"/>
      <c r="F13" s="10"/>
      <c r="G13" s="7"/>
      <c r="H13" s="7"/>
      <c r="I13" s="7"/>
      <c r="J13" s="7"/>
      <c r="K13" s="7">
        <v>0</v>
      </c>
      <c r="L13" s="7"/>
      <c r="M13" s="8"/>
      <c r="N13" s="63"/>
      <c r="O13" s="3"/>
    </row>
    <row r="14" spans="1:16" ht="39" customHeight="1" x14ac:dyDescent="0.35">
      <c r="A14" s="31"/>
      <c r="B14" s="6" t="s">
        <v>91</v>
      </c>
      <c r="C14" s="10">
        <f>D14+E14</f>
        <v>3186660</v>
      </c>
      <c r="D14" s="10">
        <f>D16</f>
        <v>790000</v>
      </c>
      <c r="E14" s="10">
        <f>E15</f>
        <v>2396660</v>
      </c>
      <c r="F14" s="10"/>
      <c r="G14" s="7"/>
      <c r="H14" s="7"/>
      <c r="I14" s="7">
        <f>I15+I16</f>
        <v>788500</v>
      </c>
      <c r="J14" s="7">
        <f>J15+J16</f>
        <v>1500</v>
      </c>
      <c r="K14" s="7">
        <f>K15+K16</f>
        <v>841300</v>
      </c>
      <c r="L14" s="7">
        <f>C14-K14</f>
        <v>2345360</v>
      </c>
      <c r="M14" s="8">
        <f>K14*100/C14</f>
        <v>26.400682846616835</v>
      </c>
      <c r="N14" s="9" t="s">
        <v>119</v>
      </c>
      <c r="O14" s="3"/>
    </row>
    <row r="15" spans="1:16" ht="21" x14ac:dyDescent="0.35">
      <c r="A15" s="31"/>
      <c r="B15" s="6" t="s">
        <v>137</v>
      </c>
      <c r="C15" s="10"/>
      <c r="D15" s="10"/>
      <c r="E15" s="10">
        <v>2396660</v>
      </c>
      <c r="F15" s="10"/>
      <c r="G15" s="7"/>
      <c r="H15" s="7"/>
      <c r="I15" s="7"/>
      <c r="J15" s="7"/>
      <c r="K15" s="7">
        <v>52800</v>
      </c>
      <c r="L15" s="7">
        <f>E15-K15</f>
        <v>2343860</v>
      </c>
      <c r="M15" s="7">
        <f>K15*100/E15</f>
        <v>2.203065933424015</v>
      </c>
      <c r="N15" s="9"/>
      <c r="O15" s="3"/>
    </row>
    <row r="16" spans="1:16" ht="21" x14ac:dyDescent="0.35">
      <c r="A16" s="31"/>
      <c r="B16" s="6" t="s">
        <v>139</v>
      </c>
      <c r="C16" s="10"/>
      <c r="D16" s="10">
        <f>D17+D18+D19+D20</f>
        <v>790000</v>
      </c>
      <c r="E16" s="10"/>
      <c r="F16" s="10"/>
      <c r="G16" s="7"/>
      <c r="H16" s="7"/>
      <c r="I16" s="7">
        <f>I17+I18+I19+I20</f>
        <v>788500</v>
      </c>
      <c r="J16" s="7">
        <f>D16-I16</f>
        <v>1500</v>
      </c>
      <c r="K16" s="7">
        <f>K17+K18+K19+K20</f>
        <v>788500</v>
      </c>
      <c r="L16" s="7">
        <f>D16-K16</f>
        <v>1500</v>
      </c>
      <c r="M16" s="7">
        <f>K16*100/D16</f>
        <v>99.810126582278485</v>
      </c>
      <c r="N16" s="9"/>
      <c r="O16" s="3"/>
    </row>
    <row r="17" spans="1:15" ht="48.75" x14ac:dyDescent="0.35">
      <c r="A17" s="31"/>
      <c r="B17" s="6" t="s">
        <v>133</v>
      </c>
      <c r="C17" s="10"/>
      <c r="D17" s="10">
        <v>450000</v>
      </c>
      <c r="E17" s="10"/>
      <c r="F17" s="64" t="s">
        <v>372</v>
      </c>
      <c r="G17" s="62" t="s">
        <v>351</v>
      </c>
      <c r="H17" s="159" t="s">
        <v>386</v>
      </c>
      <c r="I17" s="7">
        <v>449500</v>
      </c>
      <c r="J17" s="7">
        <f>D17-I17</f>
        <v>500</v>
      </c>
      <c r="K17" s="7">
        <v>449500</v>
      </c>
      <c r="L17" s="7">
        <f>D17-K17</f>
        <v>500</v>
      </c>
      <c r="M17" s="7">
        <f>K17*100/I17</f>
        <v>100</v>
      </c>
      <c r="N17" s="9"/>
      <c r="O17" s="3"/>
    </row>
    <row r="18" spans="1:15" ht="48.75" x14ac:dyDescent="0.35">
      <c r="A18" s="31"/>
      <c r="B18" s="6" t="s">
        <v>134</v>
      </c>
      <c r="C18" s="10"/>
      <c r="D18" s="10">
        <v>50000</v>
      </c>
      <c r="E18" s="10"/>
      <c r="F18" s="64" t="s">
        <v>372</v>
      </c>
      <c r="G18" s="62" t="s">
        <v>350</v>
      </c>
      <c r="H18" s="159" t="s">
        <v>386</v>
      </c>
      <c r="I18" s="7">
        <v>50000</v>
      </c>
      <c r="J18" s="7">
        <f t="shared" ref="J18:J20" si="3">D18-I18</f>
        <v>0</v>
      </c>
      <c r="K18" s="7">
        <v>50000</v>
      </c>
      <c r="L18" s="7">
        <f t="shared" ref="L18:L19" si="4">D18-K18</f>
        <v>0</v>
      </c>
      <c r="M18" s="7">
        <f t="shared" ref="M18:M19" si="5">K18*100/I18</f>
        <v>100</v>
      </c>
      <c r="N18" s="9"/>
      <c r="O18" s="3"/>
    </row>
    <row r="19" spans="1:15" ht="48.75" x14ac:dyDescent="0.35">
      <c r="A19" s="31"/>
      <c r="B19" s="6" t="s">
        <v>135</v>
      </c>
      <c r="C19" s="10"/>
      <c r="D19" s="10">
        <v>170000</v>
      </c>
      <c r="E19" s="10"/>
      <c r="F19" s="64" t="s">
        <v>372</v>
      </c>
      <c r="G19" s="62" t="s">
        <v>350</v>
      </c>
      <c r="H19" s="159" t="s">
        <v>386</v>
      </c>
      <c r="I19" s="7">
        <v>169500</v>
      </c>
      <c r="J19" s="7">
        <f t="shared" si="3"/>
        <v>500</v>
      </c>
      <c r="K19" s="7">
        <v>169500</v>
      </c>
      <c r="L19" s="7">
        <f t="shared" si="4"/>
        <v>500</v>
      </c>
      <c r="M19" s="7">
        <f t="shared" si="5"/>
        <v>100</v>
      </c>
      <c r="N19" s="9"/>
      <c r="O19" s="3"/>
    </row>
    <row r="20" spans="1:15" ht="48.75" x14ac:dyDescent="0.35">
      <c r="A20" s="31"/>
      <c r="B20" s="6" t="s">
        <v>136</v>
      </c>
      <c r="C20" s="10"/>
      <c r="D20" s="10">
        <v>120000</v>
      </c>
      <c r="E20" s="10"/>
      <c r="F20" s="64" t="s">
        <v>372</v>
      </c>
      <c r="G20" s="62" t="s">
        <v>350</v>
      </c>
      <c r="H20" s="159" t="s">
        <v>386</v>
      </c>
      <c r="I20" s="7">
        <v>119500</v>
      </c>
      <c r="J20" s="7">
        <f t="shared" si="3"/>
        <v>500</v>
      </c>
      <c r="K20" s="7">
        <v>119500</v>
      </c>
      <c r="L20" s="7">
        <f>D20-K20</f>
        <v>500</v>
      </c>
      <c r="M20" s="7">
        <f>K20*100/I20</f>
        <v>100</v>
      </c>
      <c r="N20" s="9"/>
      <c r="O20" s="3"/>
    </row>
    <row r="21" spans="1:15" ht="21" x14ac:dyDescent="0.35">
      <c r="A21" s="31"/>
      <c r="B21" s="8" t="s">
        <v>92</v>
      </c>
      <c r="C21" s="10">
        <f>D21+E21</f>
        <v>820000</v>
      </c>
      <c r="D21" s="10">
        <f>D23</f>
        <v>99000</v>
      </c>
      <c r="E21" s="10">
        <f>E22</f>
        <v>721000</v>
      </c>
      <c r="F21" s="10"/>
      <c r="G21" s="7"/>
      <c r="H21" s="7"/>
      <c r="I21" s="7">
        <f>I22+I23</f>
        <v>97500</v>
      </c>
      <c r="J21" s="7">
        <f>J22+J23</f>
        <v>1500</v>
      </c>
      <c r="K21" s="7">
        <f>K22+K23</f>
        <v>168300</v>
      </c>
      <c r="L21" s="7">
        <f>C21-K21</f>
        <v>651700</v>
      </c>
      <c r="M21" s="156">
        <f>K21*100/C21</f>
        <v>20.524390243902438</v>
      </c>
      <c r="N21" s="9" t="s">
        <v>120</v>
      </c>
      <c r="O21" s="3"/>
    </row>
    <row r="22" spans="1:15" ht="21" x14ac:dyDescent="0.35">
      <c r="A22" s="31"/>
      <c r="B22" s="6" t="s">
        <v>137</v>
      </c>
      <c r="C22" s="10"/>
      <c r="D22" s="10"/>
      <c r="E22" s="10">
        <v>721000</v>
      </c>
      <c r="F22" s="10"/>
      <c r="G22" s="7"/>
      <c r="H22" s="7"/>
      <c r="I22" s="7"/>
      <c r="J22" s="7"/>
      <c r="K22" s="7">
        <v>70800</v>
      </c>
      <c r="L22" s="7">
        <f>E22-K22</f>
        <v>650200</v>
      </c>
      <c r="M22" s="156">
        <f>K22*100/E22</f>
        <v>9.8196948682385568</v>
      </c>
      <c r="N22" s="9"/>
      <c r="O22" s="3"/>
    </row>
    <row r="23" spans="1:15" ht="21" x14ac:dyDescent="0.35">
      <c r="A23" s="31"/>
      <c r="B23" s="6" t="s">
        <v>139</v>
      </c>
      <c r="C23" s="10"/>
      <c r="D23" s="10">
        <f>D24</f>
        <v>99000</v>
      </c>
      <c r="E23" s="10"/>
      <c r="F23" s="10"/>
      <c r="G23" s="7"/>
      <c r="H23" s="7"/>
      <c r="I23" s="7">
        <f>I24</f>
        <v>97500</v>
      </c>
      <c r="J23" s="7">
        <f>J24</f>
        <v>1500</v>
      </c>
      <c r="K23" s="7">
        <f>K24</f>
        <v>97500</v>
      </c>
      <c r="L23" s="7">
        <f>D23-K23</f>
        <v>1500</v>
      </c>
      <c r="M23" s="156">
        <f>K23*100/D23</f>
        <v>98.484848484848484</v>
      </c>
      <c r="N23" s="9"/>
      <c r="O23" s="3"/>
    </row>
    <row r="24" spans="1:15" ht="47.25" x14ac:dyDescent="0.35">
      <c r="A24" s="31"/>
      <c r="B24" s="6" t="s">
        <v>138</v>
      </c>
      <c r="C24" s="10"/>
      <c r="D24" s="10">
        <v>99000</v>
      </c>
      <c r="E24" s="10"/>
      <c r="F24" s="64" t="s">
        <v>372</v>
      </c>
      <c r="G24" s="62" t="s">
        <v>348</v>
      </c>
      <c r="H24" s="64" t="s">
        <v>387</v>
      </c>
      <c r="I24" s="7">
        <v>97500</v>
      </c>
      <c r="J24" s="7">
        <f>D24-I24</f>
        <v>1500</v>
      </c>
      <c r="K24" s="7">
        <v>97500</v>
      </c>
      <c r="L24" s="7">
        <f>D24-K24</f>
        <v>1500</v>
      </c>
      <c r="M24" s="156">
        <f>K24*100/D24</f>
        <v>98.484848484848484</v>
      </c>
      <c r="N24" s="9"/>
      <c r="O24" s="3"/>
    </row>
    <row r="25" spans="1:15" ht="38.25" customHeight="1" x14ac:dyDescent="0.35">
      <c r="A25" s="31"/>
      <c r="B25" s="6" t="s">
        <v>93</v>
      </c>
      <c r="C25" s="10">
        <f>E25</f>
        <v>285844</v>
      </c>
      <c r="D25" s="10"/>
      <c r="E25" s="10">
        <v>285844</v>
      </c>
      <c r="F25" s="10"/>
      <c r="G25" s="7"/>
      <c r="H25" s="7"/>
      <c r="I25" s="7"/>
      <c r="J25" s="7"/>
      <c r="K25" s="7">
        <f>128300+33000+5744</f>
        <v>167044</v>
      </c>
      <c r="L25" s="7">
        <f>C25-K25</f>
        <v>118800</v>
      </c>
      <c r="M25" s="156">
        <f>K25*100/C25</f>
        <v>58.438868753585872</v>
      </c>
      <c r="N25" s="9" t="s">
        <v>140</v>
      </c>
      <c r="O25" s="3"/>
    </row>
    <row r="26" spans="1:15" ht="18" customHeight="1" x14ac:dyDescent="0.35">
      <c r="A26" s="31"/>
      <c r="B26" s="8" t="s">
        <v>94</v>
      </c>
      <c r="C26" s="10">
        <f>E26</f>
        <v>200000</v>
      </c>
      <c r="D26" s="10"/>
      <c r="E26" s="10">
        <v>200000</v>
      </c>
      <c r="F26" s="10"/>
      <c r="G26" s="7"/>
      <c r="H26" s="7"/>
      <c r="I26" s="7"/>
      <c r="J26" s="7"/>
      <c r="K26" s="7"/>
      <c r="L26" s="7">
        <f>C26-K26</f>
        <v>200000</v>
      </c>
      <c r="M26" s="8">
        <f>K26*100/C26</f>
        <v>0</v>
      </c>
      <c r="N26" s="9" t="s">
        <v>144</v>
      </c>
      <c r="O26" s="3"/>
    </row>
    <row r="27" spans="1:15" ht="36" customHeight="1" x14ac:dyDescent="0.35">
      <c r="A27" s="31"/>
      <c r="B27" s="6" t="s">
        <v>95</v>
      </c>
      <c r="C27" s="10">
        <f>E27</f>
        <v>250000</v>
      </c>
      <c r="D27" s="10"/>
      <c r="E27" s="10">
        <v>250000</v>
      </c>
      <c r="F27" s="10"/>
      <c r="G27" s="7"/>
      <c r="H27" s="7"/>
      <c r="I27" s="7"/>
      <c r="J27" s="7"/>
      <c r="K27" s="7"/>
      <c r="L27" s="7">
        <f t="shared" ref="L27" si="6">C27-K27</f>
        <v>250000</v>
      </c>
      <c r="M27" s="8">
        <f t="shared" ref="M27:M28" si="7">K27*100/C27</f>
        <v>0</v>
      </c>
      <c r="N27" s="9" t="s">
        <v>121</v>
      </c>
      <c r="O27" s="3"/>
    </row>
    <row r="28" spans="1:15" ht="36.75" customHeight="1" x14ac:dyDescent="0.35">
      <c r="A28" s="31"/>
      <c r="B28" s="6" t="s">
        <v>96</v>
      </c>
      <c r="C28" s="10">
        <f>D28+E28</f>
        <v>773200</v>
      </c>
      <c r="D28" s="10">
        <f>D30</f>
        <v>40000</v>
      </c>
      <c r="E28" s="10">
        <f>E29</f>
        <v>733200</v>
      </c>
      <c r="F28" s="10"/>
      <c r="G28" s="7"/>
      <c r="H28" s="7"/>
      <c r="I28" s="7">
        <f>I29+I30</f>
        <v>40000</v>
      </c>
      <c r="J28" s="7">
        <f>J29+J30</f>
        <v>0</v>
      </c>
      <c r="K28" s="7">
        <f>K29+K30</f>
        <v>405750</v>
      </c>
      <c r="L28" s="7">
        <f>L29+L30</f>
        <v>367450</v>
      </c>
      <c r="M28" s="156">
        <f t="shared" si="7"/>
        <v>52.476720124159336</v>
      </c>
      <c r="N28" s="9" t="s">
        <v>121</v>
      </c>
      <c r="O28" s="3"/>
    </row>
    <row r="29" spans="1:15" ht="20.25" customHeight="1" x14ac:dyDescent="0.35">
      <c r="A29" s="31"/>
      <c r="B29" s="6" t="s">
        <v>137</v>
      </c>
      <c r="C29" s="10"/>
      <c r="D29" s="10"/>
      <c r="E29" s="10">
        <v>733200</v>
      </c>
      <c r="F29" s="10"/>
      <c r="G29" s="7"/>
      <c r="H29" s="7"/>
      <c r="I29" s="7"/>
      <c r="J29" s="7"/>
      <c r="K29" s="7">
        <f>17600+15000+25000+163000+142750+2400</f>
        <v>365750</v>
      </c>
      <c r="L29" s="7">
        <f>E29-K29</f>
        <v>367450</v>
      </c>
      <c r="M29" s="156">
        <f>K29*100/E29</f>
        <v>49.884069830878339</v>
      </c>
      <c r="N29" s="9"/>
      <c r="O29" s="3"/>
    </row>
    <row r="30" spans="1:15" ht="18.75" customHeight="1" x14ac:dyDescent="0.35">
      <c r="A30" s="31"/>
      <c r="B30" s="6" t="s">
        <v>139</v>
      </c>
      <c r="C30" s="10"/>
      <c r="D30" s="10">
        <f>D31</f>
        <v>40000</v>
      </c>
      <c r="E30" s="10"/>
      <c r="F30" s="10"/>
      <c r="G30" s="7"/>
      <c r="H30" s="7"/>
      <c r="I30" s="7">
        <f>I31</f>
        <v>40000</v>
      </c>
      <c r="J30" s="7">
        <f>J31</f>
        <v>0</v>
      </c>
      <c r="K30" s="7">
        <f>K31</f>
        <v>40000</v>
      </c>
      <c r="L30" s="7">
        <f>D30-K30</f>
        <v>0</v>
      </c>
      <c r="M30" s="7">
        <f>K30*100/D30</f>
        <v>100</v>
      </c>
      <c r="N30" s="9"/>
      <c r="O30" s="3"/>
    </row>
    <row r="31" spans="1:15" ht="34.5" customHeight="1" x14ac:dyDescent="0.35">
      <c r="A31" s="31"/>
      <c r="B31" s="6" t="s">
        <v>141</v>
      </c>
      <c r="C31" s="10"/>
      <c r="D31" s="10">
        <v>40000</v>
      </c>
      <c r="E31" s="10"/>
      <c r="F31" s="62" t="s">
        <v>372</v>
      </c>
      <c r="G31" s="158" t="s">
        <v>384</v>
      </c>
      <c r="H31" s="157" t="s">
        <v>385</v>
      </c>
      <c r="I31" s="7">
        <v>40000</v>
      </c>
      <c r="J31" s="7">
        <f>D31-I31</f>
        <v>0</v>
      </c>
      <c r="K31" s="7">
        <v>40000</v>
      </c>
      <c r="L31" s="7"/>
      <c r="M31" s="8"/>
      <c r="N31" s="9"/>
      <c r="O31" s="3"/>
    </row>
    <row r="32" spans="1:15" ht="21.75" customHeight="1" x14ac:dyDescent="0.35">
      <c r="A32" s="31"/>
      <c r="B32" s="8" t="s">
        <v>97</v>
      </c>
      <c r="C32" s="10">
        <f>E32</f>
        <v>5246252</v>
      </c>
      <c r="D32" s="10"/>
      <c r="E32" s="10">
        <v>5246252</v>
      </c>
      <c r="F32" s="10"/>
      <c r="G32" s="7"/>
      <c r="H32" s="7"/>
      <c r="I32" s="7"/>
      <c r="J32" s="7"/>
      <c r="K32" s="7">
        <v>0</v>
      </c>
      <c r="L32" s="7">
        <f>C32-K32</f>
        <v>5246252</v>
      </c>
      <c r="M32" s="8">
        <f>K32*100/E32</f>
        <v>0</v>
      </c>
      <c r="N32" s="9" t="s">
        <v>122</v>
      </c>
      <c r="O32" s="3"/>
    </row>
    <row r="33" spans="1:15" ht="23.25" customHeight="1" x14ac:dyDescent="0.35">
      <c r="A33" s="31"/>
      <c r="B33" s="8" t="s">
        <v>98</v>
      </c>
      <c r="C33" s="10">
        <f>E33</f>
        <v>111744</v>
      </c>
      <c r="D33" s="10"/>
      <c r="E33" s="10">
        <v>111744</v>
      </c>
      <c r="F33" s="10"/>
      <c r="G33" s="7"/>
      <c r="H33" s="7"/>
      <c r="I33" s="7"/>
      <c r="J33" s="7"/>
      <c r="K33" s="7">
        <v>9500</v>
      </c>
      <c r="L33" s="7">
        <f>C33-K33</f>
        <v>102244</v>
      </c>
      <c r="M33" s="156">
        <f>K33*100/E33</f>
        <v>8.5015750286368839</v>
      </c>
      <c r="N33" s="9" t="s">
        <v>121</v>
      </c>
      <c r="O33" s="3"/>
    </row>
    <row r="34" spans="1:15" ht="38.25" x14ac:dyDescent="0.35">
      <c r="A34" s="60">
        <v>2</v>
      </c>
      <c r="B34" s="58" t="s">
        <v>117</v>
      </c>
      <c r="C34" s="52">
        <f>D34</f>
        <v>20000000</v>
      </c>
      <c r="D34" s="52">
        <f>D35</f>
        <v>20000000</v>
      </c>
      <c r="E34" s="52">
        <f>E35</f>
        <v>0</v>
      </c>
      <c r="F34" s="62"/>
      <c r="G34" s="59"/>
      <c r="H34" s="59"/>
      <c r="I34" s="59">
        <f>I35</f>
        <v>19880000</v>
      </c>
      <c r="J34" s="59">
        <f>J35</f>
        <v>120000</v>
      </c>
      <c r="K34" s="59">
        <f>K35</f>
        <v>0</v>
      </c>
      <c r="L34" s="59">
        <f>D34-K34</f>
        <v>20000000</v>
      </c>
      <c r="M34" s="57">
        <f>K34*100/D34</f>
        <v>0</v>
      </c>
      <c r="N34" s="53"/>
      <c r="O34" s="3"/>
    </row>
    <row r="35" spans="1:15" ht="75.75" x14ac:dyDescent="0.35">
      <c r="A35" s="31"/>
      <c r="B35" s="6" t="s">
        <v>260</v>
      </c>
      <c r="C35" s="10"/>
      <c r="D35" s="10">
        <v>20000000</v>
      </c>
      <c r="E35" s="10">
        <v>0</v>
      </c>
      <c r="F35" s="64" t="s">
        <v>372</v>
      </c>
      <c r="G35" s="147" t="s">
        <v>349</v>
      </c>
      <c r="H35" s="147" t="s">
        <v>382</v>
      </c>
      <c r="I35" s="7">
        <v>19880000</v>
      </c>
      <c r="J35" s="7">
        <f>D35-I35</f>
        <v>120000</v>
      </c>
      <c r="K35" s="7">
        <v>0</v>
      </c>
      <c r="L35" s="7">
        <f>D35-K35</f>
        <v>20000000</v>
      </c>
      <c r="M35" s="8">
        <f>K35*100/I35</f>
        <v>0</v>
      </c>
      <c r="N35" s="65" t="s">
        <v>123</v>
      </c>
      <c r="O35" s="3"/>
    </row>
    <row r="36" spans="1:15" ht="41.25" customHeight="1" x14ac:dyDescent="0.35">
      <c r="A36" s="60">
        <v>3</v>
      </c>
      <c r="B36" s="58" t="s">
        <v>99</v>
      </c>
      <c r="C36" s="52">
        <f>D36</f>
        <v>6900000</v>
      </c>
      <c r="D36" s="52">
        <f>D37</f>
        <v>6900000</v>
      </c>
      <c r="E36" s="52">
        <f>E37</f>
        <v>0</v>
      </c>
      <c r="F36" s="62"/>
      <c r="G36" s="59"/>
      <c r="H36" s="59"/>
      <c r="I36" s="59">
        <f>I37</f>
        <v>6855000</v>
      </c>
      <c r="J36" s="59">
        <f>J37</f>
        <v>45000</v>
      </c>
      <c r="K36" s="59">
        <f>K37</f>
        <v>0</v>
      </c>
      <c r="L36" s="59">
        <f>D36-K36</f>
        <v>6900000</v>
      </c>
      <c r="M36" s="57">
        <f>K36*100/D36</f>
        <v>0</v>
      </c>
      <c r="N36" s="53"/>
      <c r="O36" s="3"/>
    </row>
    <row r="37" spans="1:15" ht="66" customHeight="1" x14ac:dyDescent="0.35">
      <c r="A37" s="31"/>
      <c r="B37" s="6" t="s">
        <v>100</v>
      </c>
      <c r="C37" s="10"/>
      <c r="D37" s="10">
        <v>6900000</v>
      </c>
      <c r="E37" s="10">
        <v>0</v>
      </c>
      <c r="F37" s="64" t="s">
        <v>372</v>
      </c>
      <c r="G37" s="62" t="s">
        <v>345</v>
      </c>
      <c r="H37" s="64" t="s">
        <v>346</v>
      </c>
      <c r="I37" s="7">
        <v>6855000</v>
      </c>
      <c r="J37" s="7">
        <f>D37-I37</f>
        <v>45000</v>
      </c>
      <c r="K37" s="7">
        <v>0</v>
      </c>
      <c r="L37" s="7">
        <f>D37-K37</f>
        <v>6900000</v>
      </c>
      <c r="M37" s="8">
        <f>K37*100/I37</f>
        <v>0</v>
      </c>
      <c r="N37" s="65" t="s">
        <v>124</v>
      </c>
      <c r="O37" s="3"/>
    </row>
    <row r="38" spans="1:15" ht="57" x14ac:dyDescent="0.35">
      <c r="A38" s="31"/>
      <c r="B38" s="58" t="s">
        <v>101</v>
      </c>
      <c r="C38" s="52">
        <f>C39+C41</f>
        <v>10094700</v>
      </c>
      <c r="D38" s="52">
        <f>D39+D41</f>
        <v>2094700</v>
      </c>
      <c r="E38" s="52">
        <f>E39+E41</f>
        <v>8000000</v>
      </c>
      <c r="F38" s="52"/>
      <c r="G38" s="59"/>
      <c r="H38" s="59"/>
      <c r="I38" s="59">
        <f>I39+I41</f>
        <v>1515151</v>
      </c>
      <c r="J38" s="59">
        <f>J39+J41</f>
        <v>579549</v>
      </c>
      <c r="K38" s="52">
        <f>K39+K41</f>
        <v>0</v>
      </c>
      <c r="L38" s="52">
        <f>L39+L41</f>
        <v>10094700</v>
      </c>
      <c r="M38" s="57">
        <f>K38*100/C38</f>
        <v>0</v>
      </c>
      <c r="N38" s="63"/>
      <c r="O38" s="3"/>
    </row>
    <row r="39" spans="1:15" ht="57" customHeight="1" x14ac:dyDescent="0.35">
      <c r="A39" s="60">
        <v>4</v>
      </c>
      <c r="B39" s="66" t="s">
        <v>102</v>
      </c>
      <c r="C39" s="52">
        <f>D39</f>
        <v>2094700</v>
      </c>
      <c r="D39" s="52">
        <f>D40</f>
        <v>2094700</v>
      </c>
      <c r="E39" s="52">
        <f>E40</f>
        <v>0</v>
      </c>
      <c r="F39" s="62"/>
      <c r="G39" s="59"/>
      <c r="H39" s="59"/>
      <c r="I39" s="59">
        <f>I40</f>
        <v>1515151</v>
      </c>
      <c r="J39" s="59">
        <f>J40</f>
        <v>579549</v>
      </c>
      <c r="K39" s="59">
        <f>K40</f>
        <v>0</v>
      </c>
      <c r="L39" s="59">
        <f>D39-K39</f>
        <v>2094700</v>
      </c>
      <c r="M39" s="57">
        <f>K39*100/D39</f>
        <v>0</v>
      </c>
      <c r="N39" s="53"/>
      <c r="O39" s="3"/>
    </row>
    <row r="40" spans="1:15" ht="57" x14ac:dyDescent="0.35">
      <c r="A40" s="31"/>
      <c r="B40" s="6" t="s">
        <v>261</v>
      </c>
      <c r="C40" s="10"/>
      <c r="D40" s="10">
        <v>2094700</v>
      </c>
      <c r="E40" s="10">
        <v>0</v>
      </c>
      <c r="F40" s="64" t="s">
        <v>372</v>
      </c>
      <c r="G40" s="64" t="s">
        <v>347</v>
      </c>
      <c r="H40" s="64" t="s">
        <v>390</v>
      </c>
      <c r="I40" s="7">
        <v>1515151</v>
      </c>
      <c r="J40" s="7">
        <f>D40-I40</f>
        <v>579549</v>
      </c>
      <c r="K40" s="7">
        <v>0</v>
      </c>
      <c r="L40" s="7">
        <f>D40-K40</f>
        <v>2094700</v>
      </c>
      <c r="M40" s="8">
        <f>K40*100/I40</f>
        <v>0</v>
      </c>
      <c r="N40" s="65" t="s">
        <v>125</v>
      </c>
      <c r="O40" s="3"/>
    </row>
    <row r="41" spans="1:15" ht="38.25" x14ac:dyDescent="0.35">
      <c r="A41" s="60">
        <v>5</v>
      </c>
      <c r="B41" s="58" t="s">
        <v>103</v>
      </c>
      <c r="C41" s="52">
        <f>E41</f>
        <v>8000000</v>
      </c>
      <c r="D41" s="52">
        <v>0</v>
      </c>
      <c r="E41" s="52">
        <f>E42</f>
        <v>8000000</v>
      </c>
      <c r="F41" s="62" t="s">
        <v>199</v>
      </c>
      <c r="G41" s="59"/>
      <c r="H41" s="59"/>
      <c r="I41" s="59"/>
      <c r="J41" s="59"/>
      <c r="K41" s="52">
        <f>K42</f>
        <v>0</v>
      </c>
      <c r="L41" s="59">
        <f>E41-K41</f>
        <v>8000000</v>
      </c>
      <c r="M41" s="57">
        <f>K41*100/E41</f>
        <v>0</v>
      </c>
      <c r="N41" s="53"/>
      <c r="O41" s="3"/>
    </row>
    <row r="42" spans="1:15" ht="34.5" customHeight="1" x14ac:dyDescent="0.35">
      <c r="A42" s="31"/>
      <c r="B42" s="8" t="s">
        <v>104</v>
      </c>
      <c r="C42" s="10"/>
      <c r="D42" s="10">
        <v>0</v>
      </c>
      <c r="E42" s="10">
        <f>E43+E44+E45+E46</f>
        <v>8000000</v>
      </c>
      <c r="F42" s="10"/>
      <c r="G42" s="7"/>
      <c r="H42" s="7"/>
      <c r="I42" s="7"/>
      <c r="J42" s="7"/>
      <c r="K42" s="7">
        <v>0</v>
      </c>
      <c r="L42" s="7">
        <f>E42-K42</f>
        <v>8000000</v>
      </c>
      <c r="M42" s="8">
        <f>K42*100/E42</f>
        <v>0</v>
      </c>
      <c r="N42" s="65" t="s">
        <v>125</v>
      </c>
      <c r="O42" s="3"/>
    </row>
    <row r="43" spans="1:15" ht="21" x14ac:dyDescent="0.35">
      <c r="A43" s="31"/>
      <c r="B43" s="67" t="s">
        <v>105</v>
      </c>
      <c r="C43" s="10"/>
      <c r="D43" s="10"/>
      <c r="E43" s="10">
        <v>2000000</v>
      </c>
      <c r="F43" s="10"/>
      <c r="G43" s="7"/>
      <c r="H43" s="7"/>
      <c r="I43" s="7"/>
      <c r="J43" s="7"/>
      <c r="K43" s="7"/>
      <c r="L43" s="7">
        <f>E43-K43</f>
        <v>2000000</v>
      </c>
      <c r="M43" s="8">
        <f>K43*100/E43</f>
        <v>0</v>
      </c>
      <c r="N43" s="63"/>
      <c r="O43" s="3"/>
    </row>
    <row r="44" spans="1:15" ht="21" x14ac:dyDescent="0.35">
      <c r="A44" s="31"/>
      <c r="B44" s="67" t="s">
        <v>106</v>
      </c>
      <c r="C44" s="10"/>
      <c r="D44" s="10"/>
      <c r="E44" s="10">
        <v>2000000</v>
      </c>
      <c r="F44" s="10"/>
      <c r="G44" s="7"/>
      <c r="H44" s="7"/>
      <c r="I44" s="7"/>
      <c r="J44" s="7"/>
      <c r="K44" s="7"/>
      <c r="L44" s="7">
        <f t="shared" ref="L44:L46" si="8">E44-K44</f>
        <v>2000000</v>
      </c>
      <c r="M44" s="8">
        <f t="shared" ref="M44:M46" si="9">K44*100/E44</f>
        <v>0</v>
      </c>
      <c r="N44" s="63"/>
      <c r="O44" s="3"/>
    </row>
    <row r="45" spans="1:15" ht="21" x14ac:dyDescent="0.35">
      <c r="A45" s="31"/>
      <c r="B45" s="67" t="s">
        <v>107</v>
      </c>
      <c r="C45" s="10"/>
      <c r="D45" s="10"/>
      <c r="E45" s="10">
        <v>2000000</v>
      </c>
      <c r="F45" s="10"/>
      <c r="G45" s="7"/>
      <c r="H45" s="7"/>
      <c r="I45" s="7"/>
      <c r="J45" s="7"/>
      <c r="K45" s="7"/>
      <c r="L45" s="7">
        <f t="shared" si="8"/>
        <v>2000000</v>
      </c>
      <c r="M45" s="8">
        <f t="shared" si="9"/>
        <v>0</v>
      </c>
      <c r="N45" s="63"/>
      <c r="O45" s="3"/>
    </row>
    <row r="46" spans="1:15" ht="24" customHeight="1" x14ac:dyDescent="0.35">
      <c r="A46" s="31"/>
      <c r="B46" s="67" t="s">
        <v>108</v>
      </c>
      <c r="C46" s="10"/>
      <c r="D46" s="10"/>
      <c r="E46" s="10">
        <v>2000000</v>
      </c>
      <c r="F46" s="10"/>
      <c r="G46" s="7"/>
      <c r="H46" s="7"/>
      <c r="I46" s="7"/>
      <c r="J46" s="7"/>
      <c r="K46" s="7"/>
      <c r="L46" s="7">
        <f t="shared" si="8"/>
        <v>2000000</v>
      </c>
      <c r="M46" s="8">
        <f t="shared" si="9"/>
        <v>0</v>
      </c>
      <c r="N46" s="63"/>
      <c r="O46" s="3"/>
    </row>
    <row r="47" spans="1:15" ht="21" x14ac:dyDescent="0.35">
      <c r="A47" s="31"/>
      <c r="B47" s="57" t="s">
        <v>109</v>
      </c>
      <c r="C47" s="52">
        <f>C48+C50</f>
        <v>45400000</v>
      </c>
      <c r="D47" s="52">
        <f t="shared" ref="D47:E47" si="10">D48+D50</f>
        <v>45000000</v>
      </c>
      <c r="E47" s="52">
        <f t="shared" si="10"/>
        <v>400000</v>
      </c>
      <c r="F47" s="52"/>
      <c r="G47" s="59"/>
      <c r="H47" s="59"/>
      <c r="I47" s="59">
        <f>I48</f>
        <v>44990000</v>
      </c>
      <c r="J47" s="59">
        <f>J48</f>
        <v>10000</v>
      </c>
      <c r="K47" s="52">
        <f>K48+K50</f>
        <v>311000</v>
      </c>
      <c r="L47" s="52">
        <f>L48+L50</f>
        <v>45089000</v>
      </c>
      <c r="M47" s="148">
        <f>K47*100/C47</f>
        <v>0.68502202643171806</v>
      </c>
      <c r="N47" s="63"/>
      <c r="O47" s="3"/>
    </row>
    <row r="48" spans="1:15" ht="38.25" x14ac:dyDescent="0.35">
      <c r="A48" s="60">
        <v>6</v>
      </c>
      <c r="B48" s="58" t="s">
        <v>110</v>
      </c>
      <c r="C48" s="52">
        <f>D48</f>
        <v>45000000</v>
      </c>
      <c r="D48" s="52">
        <f>D49</f>
        <v>45000000</v>
      </c>
      <c r="E48" s="52">
        <f>E49</f>
        <v>0</v>
      </c>
      <c r="F48" s="62"/>
      <c r="G48" s="59"/>
      <c r="H48" s="59"/>
      <c r="I48" s="59">
        <f>I49</f>
        <v>44990000</v>
      </c>
      <c r="J48" s="59">
        <f>J49</f>
        <v>10000</v>
      </c>
      <c r="K48" s="59">
        <f>K49</f>
        <v>0</v>
      </c>
      <c r="L48" s="59">
        <f>D48-K48</f>
        <v>45000000</v>
      </c>
      <c r="M48" s="68">
        <f>K48*100/D48</f>
        <v>0</v>
      </c>
      <c r="N48" s="53"/>
      <c r="O48" s="3"/>
    </row>
    <row r="49" spans="1:15" ht="46.5" customHeight="1" x14ac:dyDescent="0.35">
      <c r="A49" s="31"/>
      <c r="B49" s="69" t="s">
        <v>111</v>
      </c>
      <c r="C49" s="10"/>
      <c r="D49" s="10">
        <v>45000000</v>
      </c>
      <c r="E49" s="10">
        <v>0</v>
      </c>
      <c r="F49" s="64" t="s">
        <v>372</v>
      </c>
      <c r="G49" s="70" t="s">
        <v>330</v>
      </c>
      <c r="H49" s="64" t="s">
        <v>294</v>
      </c>
      <c r="I49" s="149">
        <v>44990000</v>
      </c>
      <c r="J49" s="149">
        <f>D49-I49</f>
        <v>10000</v>
      </c>
      <c r="K49" s="7">
        <v>0</v>
      </c>
      <c r="L49" s="7">
        <f>D49-K49</f>
        <v>45000000</v>
      </c>
      <c r="M49" s="8">
        <f>K49*100/I49</f>
        <v>0</v>
      </c>
      <c r="N49" s="65" t="s">
        <v>31</v>
      </c>
      <c r="O49" s="3"/>
    </row>
    <row r="50" spans="1:15" ht="21" x14ac:dyDescent="0.35">
      <c r="A50" s="60">
        <v>7</v>
      </c>
      <c r="B50" s="57" t="s">
        <v>112</v>
      </c>
      <c r="C50" s="52">
        <f>E50</f>
        <v>400000</v>
      </c>
      <c r="D50" s="52">
        <v>0</v>
      </c>
      <c r="E50" s="52">
        <f>E51</f>
        <v>400000</v>
      </c>
      <c r="F50" s="62" t="s">
        <v>262</v>
      </c>
      <c r="G50" s="59"/>
      <c r="H50" s="59"/>
      <c r="I50" s="59"/>
      <c r="J50" s="59"/>
      <c r="K50" s="59">
        <f>K51</f>
        <v>311000</v>
      </c>
      <c r="L50" s="59">
        <f>E50-K50</f>
        <v>89000</v>
      </c>
      <c r="M50" s="57">
        <f>K50*100/E50</f>
        <v>77.75</v>
      </c>
      <c r="N50" s="53"/>
      <c r="O50" s="3"/>
    </row>
    <row r="51" spans="1:15" ht="34.5" customHeight="1" x14ac:dyDescent="0.35">
      <c r="A51" s="31"/>
      <c r="B51" s="8" t="s">
        <v>113</v>
      </c>
      <c r="C51" s="10"/>
      <c r="D51" s="10">
        <v>0</v>
      </c>
      <c r="E51" s="10">
        <v>400000</v>
      </c>
      <c r="F51" s="10"/>
      <c r="G51" s="7"/>
      <c r="H51" s="7"/>
      <c r="I51" s="7"/>
      <c r="J51" s="7"/>
      <c r="K51" s="7">
        <f>92000+7000+84000+24000+70000+25000+1000+8000</f>
        <v>311000</v>
      </c>
      <c r="L51" s="7">
        <f>E51-K51</f>
        <v>89000</v>
      </c>
      <c r="M51" s="8">
        <f>K51*100/E51</f>
        <v>77.75</v>
      </c>
      <c r="N51" s="71" t="s">
        <v>145</v>
      </c>
      <c r="O51" s="3"/>
    </row>
    <row r="52" spans="1:15" ht="21" x14ac:dyDescent="0.35">
      <c r="A52" s="57"/>
      <c r="B52" s="53" t="s">
        <v>114</v>
      </c>
      <c r="C52" s="52">
        <f>C8+C38+C47</f>
        <v>93962000</v>
      </c>
      <c r="D52" s="52">
        <f t="shared" ref="D52:E52" si="11">D8+D38+D47</f>
        <v>74923700</v>
      </c>
      <c r="E52" s="52">
        <f t="shared" si="11"/>
        <v>19038300</v>
      </c>
      <c r="F52" s="52"/>
      <c r="G52" s="59"/>
      <c r="H52" s="59"/>
      <c r="I52" s="52">
        <f>I8+I38+I47</f>
        <v>74166151</v>
      </c>
      <c r="J52" s="52">
        <f>J8+J38+J47</f>
        <v>757549</v>
      </c>
      <c r="K52" s="59">
        <f>K8+K38+K47</f>
        <v>1944294</v>
      </c>
      <c r="L52" s="59">
        <f>C52-K52</f>
        <v>92017706</v>
      </c>
      <c r="M52" s="148">
        <f>K52*100/C52</f>
        <v>2.0692343713416061</v>
      </c>
      <c r="N52" s="57"/>
      <c r="O52" s="3"/>
    </row>
    <row r="53" spans="1:15" ht="2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2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2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2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2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21" x14ac:dyDescent="0.35">
      <c r="A58" s="3"/>
      <c r="B58" s="3"/>
      <c r="C58" s="3"/>
      <c r="D58" s="3"/>
      <c r="E58" s="3"/>
      <c r="F58" s="3"/>
      <c r="G58" s="3"/>
      <c r="H58" s="3"/>
      <c r="I58" s="3"/>
      <c r="J58" s="160">
        <v>93556700</v>
      </c>
      <c r="K58" s="3"/>
      <c r="L58" s="3"/>
      <c r="M58" s="3"/>
      <c r="N58" s="3"/>
      <c r="O58" s="3"/>
    </row>
    <row r="59" spans="1:15" ht="21" x14ac:dyDescent="0.35">
      <c r="A59" s="3"/>
      <c r="B59" s="3"/>
      <c r="C59" s="3"/>
      <c r="D59" s="3"/>
      <c r="E59" s="3"/>
      <c r="F59" s="3"/>
      <c r="G59" s="3"/>
      <c r="H59" s="3"/>
      <c r="I59" s="3"/>
      <c r="J59" s="160">
        <v>211838.71</v>
      </c>
      <c r="K59" s="3"/>
      <c r="L59" s="3"/>
      <c r="M59" s="3"/>
      <c r="N59" s="3"/>
      <c r="O59" s="3"/>
    </row>
    <row r="60" spans="1:15" ht="21" x14ac:dyDescent="0.35">
      <c r="A60" s="3"/>
      <c r="B60" s="3"/>
      <c r="C60" s="3"/>
      <c r="D60" s="3"/>
      <c r="E60" s="3"/>
      <c r="F60" s="3"/>
      <c r="G60" s="3"/>
      <c r="H60" s="3"/>
      <c r="I60" s="3"/>
      <c r="J60" s="160">
        <f>J58+J59</f>
        <v>93768538.709999993</v>
      </c>
      <c r="K60" s="3"/>
      <c r="L60" s="3"/>
      <c r="M60" s="3"/>
      <c r="N60" s="3"/>
      <c r="O60" s="3"/>
    </row>
    <row r="61" spans="1:15" ht="2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2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2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2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2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2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2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2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</sheetData>
  <mergeCells count="10">
    <mergeCell ref="A1:N1"/>
    <mergeCell ref="A2:N2"/>
    <mergeCell ref="A3:N3"/>
    <mergeCell ref="A5:A6"/>
    <mergeCell ref="B5:B6"/>
    <mergeCell ref="K5:M5"/>
    <mergeCell ref="N5:N6"/>
    <mergeCell ref="C5:E5"/>
    <mergeCell ref="F5:J5"/>
    <mergeCell ref="J4:N4"/>
  </mergeCells>
  <pageMargins left="0.19685039370078741" right="0" top="0.15748031496062992" bottom="0.19685039370078741" header="0" footer="0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B11" sqref="B11"/>
    </sheetView>
  </sheetViews>
  <sheetFormatPr defaultRowHeight="14.25" x14ac:dyDescent="0.2"/>
  <cols>
    <col min="1" max="1" width="4.125" customWidth="1"/>
    <col min="2" max="2" width="35" customWidth="1"/>
    <col min="5" max="5" width="7" customWidth="1"/>
    <col min="6" max="7" width="11.25" customWidth="1"/>
    <col min="8" max="8" width="6.625" customWidth="1"/>
    <col min="9" max="9" width="11.25" customWidth="1"/>
  </cols>
  <sheetData>
    <row r="1" spans="1:9" s="1" customFormat="1" ht="24.75" customHeight="1" x14ac:dyDescent="0.35">
      <c r="A1" s="250" t="s">
        <v>328</v>
      </c>
      <c r="B1" s="250"/>
      <c r="C1" s="250"/>
      <c r="D1" s="250"/>
      <c r="E1" s="250"/>
      <c r="F1" s="250"/>
      <c r="G1" s="250"/>
      <c r="H1" s="250"/>
      <c r="I1" s="250"/>
    </row>
    <row r="2" spans="1:9" s="1" customFormat="1" ht="24.75" customHeight="1" x14ac:dyDescent="0.35">
      <c r="A2" s="250" t="s">
        <v>329</v>
      </c>
      <c r="B2" s="250"/>
      <c r="C2" s="250"/>
      <c r="D2" s="250"/>
      <c r="E2" s="250"/>
      <c r="F2" s="250"/>
      <c r="G2" s="250"/>
      <c r="H2" s="250"/>
      <c r="I2" s="250"/>
    </row>
    <row r="3" spans="1:9" s="1" customFormat="1" x14ac:dyDescent="0.2"/>
    <row r="4" spans="1:9" s="1" customFormat="1" ht="24.75" customHeight="1" x14ac:dyDescent="0.2">
      <c r="A4" s="254" t="s">
        <v>78</v>
      </c>
      <c r="B4" s="256" t="s">
        <v>79</v>
      </c>
      <c r="C4" s="256" t="s">
        <v>196</v>
      </c>
      <c r="D4" s="256"/>
      <c r="E4" s="256"/>
      <c r="F4" s="256" t="s">
        <v>74</v>
      </c>
      <c r="G4" s="256"/>
      <c r="H4" s="256"/>
      <c r="I4" s="252" t="s">
        <v>0</v>
      </c>
    </row>
    <row r="5" spans="1:9" s="1" customFormat="1" ht="37.5" customHeight="1" x14ac:dyDescent="0.2">
      <c r="A5" s="255"/>
      <c r="B5" s="256"/>
      <c r="C5" s="44" t="s">
        <v>114</v>
      </c>
      <c r="D5" s="44" t="s">
        <v>83</v>
      </c>
      <c r="E5" s="44" t="s">
        <v>82</v>
      </c>
      <c r="F5" s="44" t="s">
        <v>194</v>
      </c>
      <c r="G5" s="44" t="s">
        <v>75</v>
      </c>
      <c r="H5" s="44" t="s">
        <v>76</v>
      </c>
      <c r="I5" s="253"/>
    </row>
    <row r="6" spans="1:9" s="1" customFormat="1" ht="27.75" customHeight="1" x14ac:dyDescent="0.2">
      <c r="A6" s="46"/>
      <c r="B6" s="29" t="s">
        <v>114</v>
      </c>
      <c r="C6" s="27">
        <f>D6</f>
        <v>8000000</v>
      </c>
      <c r="D6" s="27">
        <f>D7+D14+D20+D22+D50+D59</f>
        <v>8000000</v>
      </c>
      <c r="E6" s="27"/>
      <c r="F6" s="30">
        <f>F7+F14+F20+F22+F50+F59</f>
        <v>2249258.44</v>
      </c>
      <c r="G6" s="30">
        <f t="shared" ref="G6:G13" si="0">C6-F6</f>
        <v>5750741.5600000005</v>
      </c>
      <c r="H6" s="30">
        <f>F6*100/C6</f>
        <v>28.115730500000002</v>
      </c>
      <c r="I6" s="28"/>
    </row>
    <row r="7" spans="1:9" s="1" customFormat="1" ht="75" customHeight="1" x14ac:dyDescent="0.2">
      <c r="A7" s="221" t="s">
        <v>146</v>
      </c>
      <c r="B7" s="222"/>
      <c r="C7" s="12">
        <f>C8</f>
        <v>400000</v>
      </c>
      <c r="D7" s="12">
        <f>D8</f>
        <v>400000</v>
      </c>
      <c r="E7" s="12"/>
      <c r="F7" s="21">
        <f>F8</f>
        <v>186890</v>
      </c>
      <c r="G7" s="21">
        <f t="shared" si="0"/>
        <v>213110</v>
      </c>
      <c r="H7" s="22">
        <f>F7*100/C7</f>
        <v>46.722499999999997</v>
      </c>
      <c r="I7" s="14"/>
    </row>
    <row r="8" spans="1:9" s="1" customFormat="1" ht="39.75" customHeight="1" x14ac:dyDescent="0.2">
      <c r="A8" s="248" t="s">
        <v>147</v>
      </c>
      <c r="B8" s="251"/>
      <c r="C8" s="12">
        <f>C9+C10+C11+C12+C13</f>
        <v>400000</v>
      </c>
      <c r="D8" s="12">
        <f>D9+D10+D11+D12+D13</f>
        <v>400000</v>
      </c>
      <c r="E8" s="12"/>
      <c r="F8" s="21">
        <f>F9+F10+F11+F12+F13</f>
        <v>186890</v>
      </c>
      <c r="G8" s="21">
        <f t="shared" si="0"/>
        <v>213110</v>
      </c>
      <c r="H8" s="22">
        <f>F8*100/C8</f>
        <v>46.722499999999997</v>
      </c>
      <c r="I8" s="25" t="s">
        <v>200</v>
      </c>
    </row>
    <row r="9" spans="1:9" s="1" customFormat="1" ht="35.25" customHeight="1" x14ac:dyDescent="0.2">
      <c r="A9" s="11"/>
      <c r="B9" s="19" t="s">
        <v>148</v>
      </c>
      <c r="C9" s="15">
        <v>100000</v>
      </c>
      <c r="D9" s="15">
        <v>100000</v>
      </c>
      <c r="E9" s="15"/>
      <c r="F9" s="23">
        <f>4725+6750+490+980+665+1505+665+29915</f>
        <v>45695</v>
      </c>
      <c r="G9" s="23">
        <f t="shared" si="0"/>
        <v>54305</v>
      </c>
      <c r="H9" s="23">
        <f>F9*100/C9</f>
        <v>45.695</v>
      </c>
      <c r="I9" s="17"/>
    </row>
    <row r="10" spans="1:9" s="1" customFormat="1" ht="39.75" customHeight="1" x14ac:dyDescent="0.2">
      <c r="A10" s="11"/>
      <c r="B10" s="19" t="s">
        <v>149</v>
      </c>
      <c r="C10" s="15">
        <v>100000</v>
      </c>
      <c r="D10" s="15">
        <v>100000</v>
      </c>
      <c r="E10" s="15"/>
      <c r="F10" s="23">
        <f>1820+1820+1435+1230+13475+525+5700+2250+2250+9150+315+1225</f>
        <v>41195</v>
      </c>
      <c r="G10" s="23">
        <f t="shared" si="0"/>
        <v>58805</v>
      </c>
      <c r="H10" s="23">
        <f>F10*100/C10</f>
        <v>41.195</v>
      </c>
      <c r="I10" s="17"/>
    </row>
    <row r="11" spans="1:9" s="1" customFormat="1" ht="21" customHeight="1" x14ac:dyDescent="0.2">
      <c r="A11" s="11"/>
      <c r="B11" s="19" t="s">
        <v>150</v>
      </c>
      <c r="C11" s="15">
        <v>100000</v>
      </c>
      <c r="D11" s="15">
        <v>100000</v>
      </c>
      <c r="E11" s="15"/>
      <c r="F11" s="23">
        <v>0</v>
      </c>
      <c r="G11" s="23">
        <f t="shared" si="0"/>
        <v>100000</v>
      </c>
      <c r="H11" s="23">
        <f t="shared" ref="H11" si="1">F11*100/C11</f>
        <v>0</v>
      </c>
      <c r="I11" s="17"/>
    </row>
    <row r="12" spans="1:9" s="1" customFormat="1" ht="56.25" customHeight="1" x14ac:dyDescent="0.2">
      <c r="A12" s="11"/>
      <c r="B12" s="19" t="s">
        <v>151</v>
      </c>
      <c r="C12" s="15">
        <v>50000</v>
      </c>
      <c r="D12" s="15">
        <v>50000</v>
      </c>
      <c r="E12" s="15"/>
      <c r="F12" s="23">
        <f>50000</f>
        <v>50000</v>
      </c>
      <c r="G12" s="23">
        <f t="shared" si="0"/>
        <v>0</v>
      </c>
      <c r="H12" s="23">
        <f>F12*100/C12</f>
        <v>100</v>
      </c>
      <c r="I12" s="17"/>
    </row>
    <row r="13" spans="1:9" s="1" customFormat="1" ht="21" customHeight="1" x14ac:dyDescent="0.2">
      <c r="A13" s="11"/>
      <c r="B13" s="19" t="s">
        <v>152</v>
      </c>
      <c r="C13" s="15">
        <v>50000</v>
      </c>
      <c r="D13" s="15">
        <v>50000</v>
      </c>
      <c r="E13" s="15"/>
      <c r="F13" s="23">
        <v>50000</v>
      </c>
      <c r="G13" s="23">
        <f t="shared" si="0"/>
        <v>0</v>
      </c>
      <c r="H13" s="23">
        <f t="shared" ref="H13:H19" si="2">F13*100/C13</f>
        <v>100</v>
      </c>
      <c r="I13" s="17"/>
    </row>
    <row r="14" spans="1:9" s="1" customFormat="1" ht="21" customHeight="1" x14ac:dyDescent="0.2">
      <c r="A14" s="221" t="s">
        <v>153</v>
      </c>
      <c r="B14" s="222"/>
      <c r="C14" s="12">
        <f>C15</f>
        <v>612000</v>
      </c>
      <c r="D14" s="12">
        <f>D15</f>
        <v>612000</v>
      </c>
      <c r="E14" s="12"/>
      <c r="F14" s="21">
        <f>F15</f>
        <v>371036</v>
      </c>
      <c r="G14" s="22">
        <f t="shared" ref="G14:G38" si="3">C14-F14</f>
        <v>240964</v>
      </c>
      <c r="H14" s="22">
        <f t="shared" si="2"/>
        <v>60.626797385620918</v>
      </c>
      <c r="I14" s="14"/>
    </row>
    <row r="15" spans="1:9" s="1" customFormat="1" ht="94.5" customHeight="1" x14ac:dyDescent="0.2">
      <c r="A15" s="248" t="s">
        <v>154</v>
      </c>
      <c r="B15" s="251"/>
      <c r="C15" s="12">
        <f>C16+C17+C18+C19</f>
        <v>612000</v>
      </c>
      <c r="D15" s="12">
        <f>D16+D17+D18+D19</f>
        <v>612000</v>
      </c>
      <c r="E15" s="12"/>
      <c r="F15" s="21">
        <f>F16+F17+F18+F19</f>
        <v>371036</v>
      </c>
      <c r="G15" s="21">
        <f t="shared" si="3"/>
        <v>240964</v>
      </c>
      <c r="H15" s="21">
        <f t="shared" si="2"/>
        <v>60.626797385620918</v>
      </c>
      <c r="I15" s="25" t="s">
        <v>200</v>
      </c>
    </row>
    <row r="16" spans="1:9" s="1" customFormat="1" ht="27" customHeight="1" x14ac:dyDescent="0.2">
      <c r="A16" s="11"/>
      <c r="B16" s="19" t="s">
        <v>155</v>
      </c>
      <c r="C16" s="15">
        <v>576000</v>
      </c>
      <c r="D16" s="15">
        <v>576000</v>
      </c>
      <c r="E16" s="15"/>
      <c r="F16" s="23">
        <f>48400+66000+64400-22400-8000+64400+64400+64400</f>
        <v>341600</v>
      </c>
      <c r="G16" s="23">
        <f>C16-F16</f>
        <v>234400</v>
      </c>
      <c r="H16" s="23">
        <f t="shared" si="2"/>
        <v>59.305555555555557</v>
      </c>
      <c r="I16" s="17"/>
    </row>
    <row r="17" spans="1:9" s="1" customFormat="1" ht="27" customHeight="1" x14ac:dyDescent="0.2">
      <c r="A17" s="11"/>
      <c r="B17" s="19" t="s">
        <v>156</v>
      </c>
      <c r="C17" s="15">
        <v>18000</v>
      </c>
      <c r="D17" s="15">
        <v>18000</v>
      </c>
      <c r="E17" s="15"/>
      <c r="F17" s="23">
        <f>1995+2100+1435+1435+1960+1400+1855+1400+2100</f>
        <v>15680</v>
      </c>
      <c r="G17" s="23">
        <f t="shared" si="3"/>
        <v>2320</v>
      </c>
      <c r="H17" s="23">
        <f t="shared" si="2"/>
        <v>87.111111111111114</v>
      </c>
      <c r="I17" s="17"/>
    </row>
    <row r="18" spans="1:9" s="1" customFormat="1" ht="24" customHeight="1" x14ac:dyDescent="0.2">
      <c r="A18" s="11"/>
      <c r="B18" s="19" t="s">
        <v>157</v>
      </c>
      <c r="C18" s="15">
        <v>10000</v>
      </c>
      <c r="D18" s="15">
        <v>10000</v>
      </c>
      <c r="E18" s="15"/>
      <c r="F18" s="23">
        <f>1425+3300+2800+1200+1200</f>
        <v>9925</v>
      </c>
      <c r="G18" s="23">
        <f t="shared" si="3"/>
        <v>75</v>
      </c>
      <c r="H18" s="23">
        <f t="shared" si="2"/>
        <v>99.25</v>
      </c>
      <c r="I18" s="17"/>
    </row>
    <row r="19" spans="1:9" s="1" customFormat="1" ht="23.25" customHeight="1" x14ac:dyDescent="0.2">
      <c r="A19" s="11"/>
      <c r="B19" s="19" t="s">
        <v>158</v>
      </c>
      <c r="C19" s="15">
        <v>8000</v>
      </c>
      <c r="D19" s="15">
        <v>8000</v>
      </c>
      <c r="E19" s="15"/>
      <c r="F19" s="23">
        <f>1431+2400</f>
        <v>3831</v>
      </c>
      <c r="G19" s="23">
        <f t="shared" si="3"/>
        <v>4169</v>
      </c>
      <c r="H19" s="23">
        <f t="shared" si="2"/>
        <v>47.887500000000003</v>
      </c>
      <c r="I19" s="17"/>
    </row>
    <row r="20" spans="1:9" s="1" customFormat="1" ht="24" customHeight="1" x14ac:dyDescent="0.2">
      <c r="A20" s="240" t="s">
        <v>159</v>
      </c>
      <c r="B20" s="241"/>
      <c r="C20" s="12">
        <f>C21</f>
        <v>300000</v>
      </c>
      <c r="D20" s="12">
        <f>D21</f>
        <v>300000</v>
      </c>
      <c r="E20" s="12"/>
      <c r="F20" s="21">
        <f>F21</f>
        <v>0</v>
      </c>
      <c r="G20" s="22">
        <f t="shared" si="3"/>
        <v>300000</v>
      </c>
      <c r="H20" s="13">
        <f>F20*100/D20</f>
        <v>0</v>
      </c>
      <c r="I20" s="14"/>
    </row>
    <row r="21" spans="1:9" s="1" customFormat="1" ht="39.75" customHeight="1" x14ac:dyDescent="0.2">
      <c r="A21" s="248" t="s">
        <v>160</v>
      </c>
      <c r="B21" s="251"/>
      <c r="C21" s="12">
        <v>300000</v>
      </c>
      <c r="D21" s="12">
        <v>300000</v>
      </c>
      <c r="E21" s="12"/>
      <c r="F21" s="22">
        <v>0</v>
      </c>
      <c r="G21" s="22">
        <f t="shared" si="3"/>
        <v>300000</v>
      </c>
      <c r="H21" s="13">
        <f t="shared" ref="H21:H68" si="4">F21*100/C21</f>
        <v>0</v>
      </c>
      <c r="I21" s="25" t="s">
        <v>200</v>
      </c>
    </row>
    <row r="22" spans="1:9" s="1" customFormat="1" ht="22.5" customHeight="1" x14ac:dyDescent="0.2">
      <c r="A22" s="221" t="s">
        <v>161</v>
      </c>
      <c r="B22" s="222"/>
      <c r="C22" s="12">
        <f>C23+C32+C39+C42</f>
        <v>4204000</v>
      </c>
      <c r="D22" s="12">
        <f>D23+D32+D39+D42</f>
        <v>4204000</v>
      </c>
      <c r="E22" s="12"/>
      <c r="F22" s="21">
        <f>F23+F32+F39+F42</f>
        <v>879882.64</v>
      </c>
      <c r="G22" s="22">
        <f t="shared" si="3"/>
        <v>3324117.36</v>
      </c>
      <c r="H22" s="22">
        <f t="shared" si="4"/>
        <v>20.929653663177927</v>
      </c>
      <c r="I22" s="25"/>
    </row>
    <row r="23" spans="1:9" s="1" customFormat="1" ht="39.75" customHeight="1" x14ac:dyDescent="0.2">
      <c r="A23" s="248" t="s">
        <v>162</v>
      </c>
      <c r="B23" s="251"/>
      <c r="C23" s="12">
        <f>C24+C25+C26+C27+C28+C29+C30+C31</f>
        <v>1000000</v>
      </c>
      <c r="D23" s="12">
        <f>D24+D25+D26+D27+D28+D29+D30+D31</f>
        <v>1000000</v>
      </c>
      <c r="E23" s="12"/>
      <c r="F23" s="21">
        <f>F24+F25+F26+F27+F28+F29+F30+F31</f>
        <v>393347.6</v>
      </c>
      <c r="G23" s="22">
        <f t="shared" si="3"/>
        <v>606652.4</v>
      </c>
      <c r="H23" s="22">
        <f t="shared" si="4"/>
        <v>39.334760000000003</v>
      </c>
      <c r="I23" s="25" t="s">
        <v>200</v>
      </c>
    </row>
    <row r="24" spans="1:9" s="1" customFormat="1" ht="39.75" customHeight="1" x14ac:dyDescent="0.2">
      <c r="A24" s="11"/>
      <c r="B24" s="19" t="s">
        <v>185</v>
      </c>
      <c r="C24" s="15">
        <v>372000</v>
      </c>
      <c r="D24" s="15">
        <v>372000</v>
      </c>
      <c r="E24" s="15"/>
      <c r="F24" s="23">
        <f>40558.8+39126.8+25000+25000</f>
        <v>129685.6</v>
      </c>
      <c r="G24" s="23">
        <f t="shared" si="3"/>
        <v>242314.4</v>
      </c>
      <c r="H24" s="23">
        <f t="shared" si="4"/>
        <v>34.861720430107525</v>
      </c>
      <c r="I24" s="26"/>
    </row>
    <row r="25" spans="1:9" s="1" customFormat="1" ht="24" customHeight="1" x14ac:dyDescent="0.2">
      <c r="A25" s="11"/>
      <c r="B25" s="19" t="s">
        <v>163</v>
      </c>
      <c r="C25" s="15">
        <v>360000</v>
      </c>
      <c r="D25" s="15">
        <v>360000</v>
      </c>
      <c r="E25" s="15"/>
      <c r="F25" s="23">
        <f>49830+70000+96500+30000</f>
        <v>246330</v>
      </c>
      <c r="G25" s="23">
        <f t="shared" si="3"/>
        <v>113670</v>
      </c>
      <c r="H25" s="23">
        <f t="shared" si="4"/>
        <v>68.424999999999997</v>
      </c>
      <c r="I25" s="26"/>
    </row>
    <row r="26" spans="1:9" s="1" customFormat="1" ht="20.25" customHeight="1" x14ac:dyDescent="0.2">
      <c r="A26" s="11"/>
      <c r="B26" s="19" t="s">
        <v>164</v>
      </c>
      <c r="C26" s="15">
        <v>40000</v>
      </c>
      <c r="D26" s="15">
        <v>40000</v>
      </c>
      <c r="E26" s="15"/>
      <c r="F26" s="23">
        <f>792+248+792+1352+5432+1160+1160+1112+792+792</f>
        <v>13632</v>
      </c>
      <c r="G26" s="23">
        <f t="shared" si="3"/>
        <v>26368</v>
      </c>
      <c r="H26" s="23">
        <f t="shared" si="4"/>
        <v>34.08</v>
      </c>
      <c r="I26" s="26"/>
    </row>
    <row r="27" spans="1:9" s="1" customFormat="1" ht="21" customHeight="1" x14ac:dyDescent="0.2">
      <c r="A27" s="11"/>
      <c r="B27" s="19" t="s">
        <v>165</v>
      </c>
      <c r="C27" s="15">
        <v>20000</v>
      </c>
      <c r="D27" s="15">
        <v>20000</v>
      </c>
      <c r="E27" s="15"/>
      <c r="F27" s="23"/>
      <c r="G27" s="23">
        <f t="shared" si="3"/>
        <v>20000</v>
      </c>
      <c r="H27" s="16">
        <f t="shared" si="4"/>
        <v>0</v>
      </c>
      <c r="I27" s="26"/>
    </row>
    <row r="28" spans="1:9" s="1" customFormat="1" ht="22.5" customHeight="1" x14ac:dyDescent="0.2">
      <c r="A28" s="11"/>
      <c r="B28" s="19" t="s">
        <v>166</v>
      </c>
      <c r="C28" s="15">
        <v>30000</v>
      </c>
      <c r="D28" s="15">
        <v>30000</v>
      </c>
      <c r="E28" s="15"/>
      <c r="F28" s="23">
        <v>3700</v>
      </c>
      <c r="G28" s="23">
        <f t="shared" si="3"/>
        <v>26300</v>
      </c>
      <c r="H28" s="23">
        <f t="shared" si="4"/>
        <v>12.333333333333334</v>
      </c>
      <c r="I28" s="26"/>
    </row>
    <row r="29" spans="1:9" s="1" customFormat="1" ht="39.75" customHeight="1" x14ac:dyDescent="0.2">
      <c r="A29" s="11"/>
      <c r="B29" s="19" t="s">
        <v>277</v>
      </c>
      <c r="C29" s="15">
        <v>14000</v>
      </c>
      <c r="D29" s="15">
        <v>14000</v>
      </c>
      <c r="E29" s="15"/>
      <c r="F29" s="23"/>
      <c r="G29" s="23">
        <f t="shared" si="3"/>
        <v>14000</v>
      </c>
      <c r="H29" s="16">
        <f t="shared" si="4"/>
        <v>0</v>
      </c>
      <c r="I29" s="26"/>
    </row>
    <row r="30" spans="1:9" s="1" customFormat="1" ht="39.75" customHeight="1" x14ac:dyDescent="0.2">
      <c r="A30" s="11"/>
      <c r="B30" s="19" t="s">
        <v>167</v>
      </c>
      <c r="C30" s="15">
        <v>156000</v>
      </c>
      <c r="D30" s="15">
        <v>156000</v>
      </c>
      <c r="E30" s="15"/>
      <c r="F30" s="23"/>
      <c r="G30" s="23">
        <f t="shared" si="3"/>
        <v>156000</v>
      </c>
      <c r="H30" s="16">
        <f t="shared" si="4"/>
        <v>0</v>
      </c>
      <c r="I30" s="26"/>
    </row>
    <row r="31" spans="1:9" s="1" customFormat="1" ht="21" customHeight="1" x14ac:dyDescent="0.2">
      <c r="A31" s="11"/>
      <c r="B31" s="19" t="s">
        <v>168</v>
      </c>
      <c r="C31" s="15">
        <v>8000</v>
      </c>
      <c r="D31" s="15">
        <v>8000</v>
      </c>
      <c r="E31" s="15"/>
      <c r="F31" s="23"/>
      <c r="G31" s="23">
        <f t="shared" si="3"/>
        <v>8000</v>
      </c>
      <c r="H31" s="16">
        <f t="shared" si="4"/>
        <v>0</v>
      </c>
      <c r="I31" s="26"/>
    </row>
    <row r="32" spans="1:9" s="1" customFormat="1" ht="60" customHeight="1" x14ac:dyDescent="0.2">
      <c r="A32" s="248" t="s">
        <v>169</v>
      </c>
      <c r="B32" s="251"/>
      <c r="C32" s="12">
        <f>C33+C34+C35+C36+C37+C38</f>
        <v>1104000</v>
      </c>
      <c r="D32" s="12">
        <f>D33+D34+D35+D36+D37+D38</f>
        <v>1104000</v>
      </c>
      <c r="E32" s="12"/>
      <c r="F32" s="21">
        <f>F33+F34+F35+F36+F37+F38</f>
        <v>388065.04000000004</v>
      </c>
      <c r="G32" s="22">
        <f t="shared" si="3"/>
        <v>715934.96</v>
      </c>
      <c r="H32" s="22">
        <f t="shared" si="4"/>
        <v>35.15081884057971</v>
      </c>
      <c r="I32" s="25" t="s">
        <v>200</v>
      </c>
    </row>
    <row r="33" spans="1:9" s="1" customFormat="1" ht="59.25" customHeight="1" x14ac:dyDescent="0.2">
      <c r="A33" s="11"/>
      <c r="B33" s="19" t="s">
        <v>171</v>
      </c>
      <c r="C33" s="15">
        <v>180000</v>
      </c>
      <c r="D33" s="15">
        <v>180000</v>
      </c>
      <c r="E33" s="15"/>
      <c r="F33" s="23">
        <f>14032.26+15000+15000+15000+15000</f>
        <v>74032.260000000009</v>
      </c>
      <c r="G33" s="23">
        <f t="shared" si="3"/>
        <v>105967.73999999999</v>
      </c>
      <c r="H33" s="23">
        <f t="shared" si="4"/>
        <v>41.129033333333339</v>
      </c>
      <c r="I33" s="26"/>
    </row>
    <row r="34" spans="1:9" s="1" customFormat="1" ht="58.5" customHeight="1" x14ac:dyDescent="0.2">
      <c r="A34" s="11"/>
      <c r="B34" s="19" t="s">
        <v>170</v>
      </c>
      <c r="C34" s="15">
        <v>168000</v>
      </c>
      <c r="D34" s="15">
        <v>168000</v>
      </c>
      <c r="E34" s="15"/>
      <c r="F34" s="23">
        <f>13096.77+14000+14000+14000</f>
        <v>55096.770000000004</v>
      </c>
      <c r="G34" s="23">
        <f t="shared" si="3"/>
        <v>112903.23</v>
      </c>
      <c r="H34" s="23">
        <f t="shared" si="4"/>
        <v>32.795696428571432</v>
      </c>
      <c r="I34" s="26"/>
    </row>
    <row r="35" spans="1:9" s="1" customFormat="1" ht="60" customHeight="1" x14ac:dyDescent="0.2">
      <c r="A35" s="11"/>
      <c r="B35" s="19" t="s">
        <v>172</v>
      </c>
      <c r="C35" s="15">
        <v>180000</v>
      </c>
      <c r="D35" s="15">
        <v>180000</v>
      </c>
      <c r="E35" s="15"/>
      <c r="F35" s="23">
        <f>14032.26+15000+15000+15000</f>
        <v>59032.26</v>
      </c>
      <c r="G35" s="23">
        <f t="shared" si="3"/>
        <v>120967.73999999999</v>
      </c>
      <c r="H35" s="23">
        <f t="shared" si="4"/>
        <v>32.795699999999997</v>
      </c>
      <c r="I35" s="26"/>
    </row>
    <row r="36" spans="1:9" s="1" customFormat="1" ht="39.75" customHeight="1" x14ac:dyDescent="0.2">
      <c r="A36" s="11"/>
      <c r="B36" s="19" t="s">
        <v>173</v>
      </c>
      <c r="C36" s="15">
        <v>168000</v>
      </c>
      <c r="D36" s="15">
        <v>168000</v>
      </c>
      <c r="E36" s="15"/>
      <c r="F36" s="23">
        <f>13096.77+14000+14000+14000</f>
        <v>55096.770000000004</v>
      </c>
      <c r="G36" s="23">
        <f t="shared" si="3"/>
        <v>112903.23</v>
      </c>
      <c r="H36" s="23">
        <f t="shared" si="4"/>
        <v>32.795696428571432</v>
      </c>
      <c r="I36" s="26"/>
    </row>
    <row r="37" spans="1:9" s="1" customFormat="1" ht="39.75" customHeight="1" x14ac:dyDescent="0.2">
      <c r="A37" s="11"/>
      <c r="B37" s="19" t="s">
        <v>174</v>
      </c>
      <c r="C37" s="15">
        <v>132000</v>
      </c>
      <c r="D37" s="15">
        <v>132000</v>
      </c>
      <c r="E37" s="15"/>
      <c r="F37" s="23">
        <f>10290.32+11000+11000+11000+11000</f>
        <v>54290.32</v>
      </c>
      <c r="G37" s="23">
        <f t="shared" si="3"/>
        <v>77709.679999999993</v>
      </c>
      <c r="H37" s="23">
        <f t="shared" si="4"/>
        <v>41.129030303030305</v>
      </c>
      <c r="I37" s="26"/>
    </row>
    <row r="38" spans="1:9" s="1" customFormat="1" ht="39.75" customHeight="1" x14ac:dyDescent="0.2">
      <c r="A38" s="11"/>
      <c r="B38" s="19" t="s">
        <v>175</v>
      </c>
      <c r="C38" s="15">
        <v>276000</v>
      </c>
      <c r="D38" s="15">
        <v>276000</v>
      </c>
      <c r="E38" s="15"/>
      <c r="F38" s="23">
        <f>10758.06+11500+11500+10758.6+11500+11500+11500+11500</f>
        <v>90516.66</v>
      </c>
      <c r="G38" s="23">
        <f t="shared" si="3"/>
        <v>185483.34</v>
      </c>
      <c r="H38" s="23">
        <f t="shared" si="4"/>
        <v>32.795891304347826</v>
      </c>
      <c r="I38" s="26"/>
    </row>
    <row r="39" spans="1:9" s="1" customFormat="1" ht="39.75" customHeight="1" x14ac:dyDescent="0.2">
      <c r="A39" s="248" t="s">
        <v>176</v>
      </c>
      <c r="B39" s="251"/>
      <c r="C39" s="12">
        <f>C40+C41</f>
        <v>100000</v>
      </c>
      <c r="D39" s="12">
        <f>D40+D41</f>
        <v>100000</v>
      </c>
      <c r="E39" s="12"/>
      <c r="F39" s="21">
        <f>F40+F41</f>
        <v>14870</v>
      </c>
      <c r="G39" s="22">
        <f t="shared" ref="G39:G68" si="5">C39-F39</f>
        <v>85130</v>
      </c>
      <c r="H39" s="22">
        <f t="shared" si="4"/>
        <v>14.87</v>
      </c>
      <c r="I39" s="25" t="s">
        <v>200</v>
      </c>
    </row>
    <row r="40" spans="1:9" s="1" customFormat="1" ht="39.75" customHeight="1" x14ac:dyDescent="0.2">
      <c r="A40" s="11"/>
      <c r="B40" s="19" t="s">
        <v>177</v>
      </c>
      <c r="C40" s="15">
        <v>70000</v>
      </c>
      <c r="D40" s="15">
        <v>70000</v>
      </c>
      <c r="E40" s="15"/>
      <c r="F40" s="23">
        <f>455+1155+7840+5420</f>
        <v>14870</v>
      </c>
      <c r="G40" s="23">
        <f t="shared" si="5"/>
        <v>55130</v>
      </c>
      <c r="H40" s="23">
        <f t="shared" si="4"/>
        <v>21.242857142857144</v>
      </c>
      <c r="I40" s="26"/>
    </row>
    <row r="41" spans="1:9" s="1" customFormat="1" ht="39.75" customHeight="1" x14ac:dyDescent="0.2">
      <c r="A41" s="11"/>
      <c r="B41" s="19" t="s">
        <v>178</v>
      </c>
      <c r="C41" s="15">
        <v>30000</v>
      </c>
      <c r="D41" s="15">
        <v>30000</v>
      </c>
      <c r="E41" s="15"/>
      <c r="F41" s="23"/>
      <c r="G41" s="23">
        <f t="shared" si="5"/>
        <v>30000</v>
      </c>
      <c r="H41" s="16">
        <f t="shared" si="4"/>
        <v>0</v>
      </c>
      <c r="I41" s="26"/>
    </row>
    <row r="42" spans="1:9" s="1" customFormat="1" ht="39.75" customHeight="1" x14ac:dyDescent="0.2">
      <c r="A42" s="248" t="s">
        <v>179</v>
      </c>
      <c r="B42" s="249"/>
      <c r="C42" s="12">
        <v>2000000</v>
      </c>
      <c r="D42" s="12">
        <v>2000000</v>
      </c>
      <c r="E42" s="12"/>
      <c r="F42" s="22">
        <f>F43+F44+F45+F46+F47+F48+F49</f>
        <v>83600</v>
      </c>
      <c r="G42" s="22">
        <f t="shared" si="5"/>
        <v>1916400</v>
      </c>
      <c r="H42" s="24">
        <f t="shared" si="4"/>
        <v>4.18</v>
      </c>
      <c r="I42" s="25" t="s">
        <v>200</v>
      </c>
    </row>
    <row r="43" spans="1:9" s="1" customFormat="1" ht="35.25" customHeight="1" x14ac:dyDescent="0.2">
      <c r="A43" s="11"/>
      <c r="B43" s="19" t="s">
        <v>191</v>
      </c>
      <c r="C43" s="15">
        <v>73520</v>
      </c>
      <c r="D43" s="15">
        <v>73520</v>
      </c>
      <c r="E43" s="15"/>
      <c r="F43" s="23">
        <f>42020+12500+15000+3400-42020</f>
        <v>30900</v>
      </c>
      <c r="G43" s="23">
        <f>C43-F43</f>
        <v>42620</v>
      </c>
      <c r="H43" s="18">
        <f t="shared" ref="H43:H49" si="6">F43*100/C43</f>
        <v>42.029379760609359</v>
      </c>
      <c r="I43" s="26" t="s">
        <v>204</v>
      </c>
    </row>
    <row r="44" spans="1:9" s="1" customFormat="1" ht="56.25" customHeight="1" x14ac:dyDescent="0.2">
      <c r="A44" s="11"/>
      <c r="B44" s="19" t="s">
        <v>274</v>
      </c>
      <c r="C44" s="15">
        <f t="shared" ref="C44:C49" si="7">D44</f>
        <v>100000</v>
      </c>
      <c r="D44" s="15">
        <v>100000</v>
      </c>
      <c r="E44" s="15"/>
      <c r="F44" s="23"/>
      <c r="G44" s="23">
        <f>C44-F44</f>
        <v>100000</v>
      </c>
      <c r="H44" s="18">
        <f t="shared" si="6"/>
        <v>0</v>
      </c>
      <c r="I44" s="26" t="s">
        <v>275</v>
      </c>
    </row>
    <row r="45" spans="1:9" s="1" customFormat="1" ht="93.75" x14ac:dyDescent="0.2">
      <c r="A45" s="11"/>
      <c r="B45" s="19" t="s">
        <v>392</v>
      </c>
      <c r="C45" s="15">
        <f t="shared" si="7"/>
        <v>70000</v>
      </c>
      <c r="D45" s="15">
        <v>70000</v>
      </c>
      <c r="E45" s="15"/>
      <c r="F45" s="23"/>
      <c r="G45" s="23">
        <f>D45-F45</f>
        <v>70000</v>
      </c>
      <c r="H45" s="18">
        <f t="shared" si="6"/>
        <v>0</v>
      </c>
      <c r="I45" s="87" t="s">
        <v>200</v>
      </c>
    </row>
    <row r="46" spans="1:9" s="1" customFormat="1" ht="93.75" x14ac:dyDescent="0.2">
      <c r="A46" s="11"/>
      <c r="B46" s="19" t="s">
        <v>393</v>
      </c>
      <c r="C46" s="15">
        <f t="shared" si="7"/>
        <v>80000</v>
      </c>
      <c r="D46" s="15">
        <v>80000</v>
      </c>
      <c r="E46" s="15"/>
      <c r="F46" s="23"/>
      <c r="G46" s="23">
        <f>D46-F46</f>
        <v>80000</v>
      </c>
      <c r="H46" s="18">
        <f t="shared" si="6"/>
        <v>0</v>
      </c>
      <c r="I46" s="87" t="s">
        <v>200</v>
      </c>
    </row>
    <row r="47" spans="1:9" s="1" customFormat="1" ht="93.75" x14ac:dyDescent="0.2">
      <c r="A47" s="11"/>
      <c r="B47" s="19" t="s">
        <v>395</v>
      </c>
      <c r="C47" s="15">
        <f t="shared" si="7"/>
        <v>280000</v>
      </c>
      <c r="D47" s="15">
        <v>280000</v>
      </c>
      <c r="E47" s="15"/>
      <c r="F47" s="23"/>
      <c r="G47" s="23">
        <f>D47-F47</f>
        <v>280000</v>
      </c>
      <c r="H47" s="18">
        <f t="shared" si="6"/>
        <v>0</v>
      </c>
      <c r="I47" s="26" t="s">
        <v>394</v>
      </c>
    </row>
    <row r="48" spans="1:9" s="1" customFormat="1" ht="69" x14ac:dyDescent="0.2">
      <c r="A48" s="11"/>
      <c r="B48" s="19" t="s">
        <v>396</v>
      </c>
      <c r="C48" s="15">
        <f t="shared" si="7"/>
        <v>203200</v>
      </c>
      <c r="D48" s="15">
        <v>203200</v>
      </c>
      <c r="E48" s="15"/>
      <c r="F48" s="23"/>
      <c r="G48" s="23">
        <f>D48-F48</f>
        <v>203200</v>
      </c>
      <c r="H48" s="18">
        <f t="shared" si="6"/>
        <v>0</v>
      </c>
      <c r="I48" s="26" t="s">
        <v>397</v>
      </c>
    </row>
    <row r="49" spans="1:9" s="1" customFormat="1" ht="56.25" customHeight="1" x14ac:dyDescent="0.2">
      <c r="A49" s="11"/>
      <c r="B49" s="19" t="s">
        <v>398</v>
      </c>
      <c r="C49" s="15">
        <f t="shared" si="7"/>
        <v>70000</v>
      </c>
      <c r="D49" s="15">
        <v>70000</v>
      </c>
      <c r="E49" s="15"/>
      <c r="F49" s="23">
        <v>52700</v>
      </c>
      <c r="G49" s="23">
        <f>D49-F49</f>
        <v>17300</v>
      </c>
      <c r="H49" s="18">
        <f t="shared" si="6"/>
        <v>75.285714285714292</v>
      </c>
      <c r="I49" s="87" t="s">
        <v>399</v>
      </c>
    </row>
    <row r="50" spans="1:9" s="1" customFormat="1" ht="59.25" customHeight="1" x14ac:dyDescent="0.2">
      <c r="A50" s="221" t="s">
        <v>180</v>
      </c>
      <c r="B50" s="222"/>
      <c r="C50" s="12">
        <f>C51+C53</f>
        <v>1643000</v>
      </c>
      <c r="D50" s="12">
        <f>D51+D53</f>
        <v>1643000</v>
      </c>
      <c r="E50" s="12"/>
      <c r="F50" s="21">
        <f>F51+F53</f>
        <v>550600</v>
      </c>
      <c r="G50" s="22">
        <f t="shared" si="5"/>
        <v>1092400</v>
      </c>
      <c r="H50" s="22">
        <f t="shared" si="4"/>
        <v>33.511868533171025</v>
      </c>
      <c r="I50" s="25"/>
    </row>
    <row r="51" spans="1:9" s="1" customFormat="1" ht="41.25" customHeight="1" x14ac:dyDescent="0.2">
      <c r="A51" s="248" t="s">
        <v>181</v>
      </c>
      <c r="B51" s="249"/>
      <c r="C51" s="12">
        <f>D51</f>
        <v>143000</v>
      </c>
      <c r="D51" s="12">
        <f>D52</f>
        <v>143000</v>
      </c>
      <c r="E51" s="12"/>
      <c r="F51" s="22">
        <f>F52</f>
        <v>26500</v>
      </c>
      <c r="G51" s="22">
        <f t="shared" si="5"/>
        <v>116500</v>
      </c>
      <c r="H51" s="23">
        <f t="shared" si="4"/>
        <v>18.53146853146853</v>
      </c>
      <c r="I51" s="25" t="s">
        <v>200</v>
      </c>
    </row>
    <row r="52" spans="1:9" s="1" customFormat="1" ht="93.75" x14ac:dyDescent="0.2">
      <c r="A52" s="168"/>
      <c r="B52" s="19" t="s">
        <v>404</v>
      </c>
      <c r="C52" s="12"/>
      <c r="D52" s="12">
        <v>143000</v>
      </c>
      <c r="E52" s="12"/>
      <c r="F52" s="22">
        <f>11900+14600</f>
        <v>26500</v>
      </c>
      <c r="G52" s="22"/>
      <c r="H52" s="23"/>
      <c r="I52" s="25"/>
    </row>
    <row r="53" spans="1:9" s="1" customFormat="1" ht="36.75" customHeight="1" x14ac:dyDescent="0.2">
      <c r="A53" s="248" t="s">
        <v>182</v>
      </c>
      <c r="B53" s="249"/>
      <c r="C53" s="12">
        <v>1500000</v>
      </c>
      <c r="D53" s="12">
        <v>1500000</v>
      </c>
      <c r="E53" s="12"/>
      <c r="F53" s="22">
        <f>F54+F55+F56+F57+F58</f>
        <v>524100</v>
      </c>
      <c r="G53" s="22">
        <f t="shared" si="5"/>
        <v>975900</v>
      </c>
      <c r="H53" s="22">
        <f t="shared" si="4"/>
        <v>34.94</v>
      </c>
      <c r="I53" s="25" t="s">
        <v>200</v>
      </c>
    </row>
    <row r="54" spans="1:9" s="1" customFormat="1" ht="39.75" customHeight="1" x14ac:dyDescent="0.2">
      <c r="A54" s="11"/>
      <c r="B54" s="19" t="s">
        <v>190</v>
      </c>
      <c r="C54" s="15">
        <f>D54</f>
        <v>145000</v>
      </c>
      <c r="D54" s="15">
        <v>145000</v>
      </c>
      <c r="E54" s="15"/>
      <c r="F54" s="23">
        <f>1000+2100</f>
        <v>3100</v>
      </c>
      <c r="G54" s="23">
        <f t="shared" si="5"/>
        <v>141900</v>
      </c>
      <c r="H54" s="23">
        <f t="shared" si="4"/>
        <v>2.1379310344827585</v>
      </c>
      <c r="I54" s="26" t="s">
        <v>276</v>
      </c>
    </row>
    <row r="55" spans="1:9" s="1" customFormat="1" ht="39.75" customHeight="1" x14ac:dyDescent="0.2">
      <c r="A55" s="11"/>
      <c r="B55" s="19" t="s">
        <v>400</v>
      </c>
      <c r="C55" s="15">
        <f>D55</f>
        <v>240000</v>
      </c>
      <c r="D55" s="15">
        <v>240000</v>
      </c>
      <c r="E55" s="15"/>
      <c r="F55" s="23">
        <v>24000</v>
      </c>
      <c r="G55" s="23">
        <f>D55-F55</f>
        <v>216000</v>
      </c>
      <c r="H55" s="23">
        <f t="shared" si="4"/>
        <v>10</v>
      </c>
      <c r="I55" s="26" t="s">
        <v>293</v>
      </c>
    </row>
    <row r="56" spans="1:9" s="1" customFormat="1" ht="39.75" customHeight="1" x14ac:dyDescent="0.2">
      <c r="A56" s="11"/>
      <c r="B56" s="19" t="s">
        <v>401</v>
      </c>
      <c r="C56" s="15">
        <f>D56</f>
        <v>90750</v>
      </c>
      <c r="D56" s="15">
        <v>90750</v>
      </c>
      <c r="E56" s="15"/>
      <c r="F56" s="23"/>
      <c r="G56" s="23">
        <f>D56-F56</f>
        <v>90750</v>
      </c>
      <c r="H56" s="23">
        <f t="shared" si="4"/>
        <v>0</v>
      </c>
      <c r="I56" s="26" t="s">
        <v>293</v>
      </c>
    </row>
    <row r="57" spans="1:9" s="1" customFormat="1" ht="39.75" customHeight="1" x14ac:dyDescent="0.2">
      <c r="A57" s="11"/>
      <c r="B57" s="19" t="s">
        <v>402</v>
      </c>
      <c r="C57" s="15">
        <f>D57</f>
        <v>37000</v>
      </c>
      <c r="D57" s="15">
        <v>37000</v>
      </c>
      <c r="E57" s="15"/>
      <c r="F57" s="23">
        <v>37000</v>
      </c>
      <c r="G57" s="23">
        <f>D57-F57</f>
        <v>0</v>
      </c>
      <c r="H57" s="23">
        <f t="shared" si="4"/>
        <v>100</v>
      </c>
      <c r="I57" s="26" t="s">
        <v>276</v>
      </c>
    </row>
    <row r="58" spans="1:9" s="1" customFormat="1" ht="56.25" x14ac:dyDescent="0.2">
      <c r="A58" s="11"/>
      <c r="B58" s="19" t="s">
        <v>403</v>
      </c>
      <c r="C58" s="15">
        <f>D58</f>
        <v>460000</v>
      </c>
      <c r="D58" s="15">
        <v>460000</v>
      </c>
      <c r="E58" s="15"/>
      <c r="F58" s="23">
        <v>460000</v>
      </c>
      <c r="G58" s="23">
        <f>D58-F58</f>
        <v>0</v>
      </c>
      <c r="H58" s="23">
        <f t="shared" si="4"/>
        <v>100</v>
      </c>
      <c r="I58" s="26" t="s">
        <v>293</v>
      </c>
    </row>
    <row r="59" spans="1:9" s="1" customFormat="1" ht="23.25" customHeight="1" x14ac:dyDescent="0.2">
      <c r="A59" s="221" t="s">
        <v>183</v>
      </c>
      <c r="B59" s="222"/>
      <c r="C59" s="12">
        <f>C60</f>
        <v>841000</v>
      </c>
      <c r="D59" s="12">
        <f>D60</f>
        <v>841000</v>
      </c>
      <c r="E59" s="12"/>
      <c r="F59" s="21">
        <f>F60</f>
        <v>260849.80000000002</v>
      </c>
      <c r="G59" s="22">
        <f t="shared" si="5"/>
        <v>580150.19999999995</v>
      </c>
      <c r="H59" s="22">
        <f t="shared" si="4"/>
        <v>31.016623067776457</v>
      </c>
      <c r="I59" s="25"/>
    </row>
    <row r="60" spans="1:9" s="1" customFormat="1" ht="39.75" customHeight="1" x14ac:dyDescent="0.2">
      <c r="A60" s="248" t="s">
        <v>184</v>
      </c>
      <c r="B60" s="249"/>
      <c r="C60" s="12">
        <f>C61+C62+C63+C64+C66+C65+C67+C68</f>
        <v>841000</v>
      </c>
      <c r="D60" s="12">
        <f>D61+D62+D63+D64+D66+D65+D67+D68</f>
        <v>841000</v>
      </c>
      <c r="E60" s="12"/>
      <c r="F60" s="21">
        <f>F61+F62+F63+F64+F66+F65+F67+F68</f>
        <v>260849.80000000002</v>
      </c>
      <c r="G60" s="22">
        <f t="shared" si="5"/>
        <v>580150.19999999995</v>
      </c>
      <c r="H60" s="22">
        <f t="shared" si="4"/>
        <v>31.016623067776457</v>
      </c>
      <c r="I60" s="25" t="s">
        <v>200</v>
      </c>
    </row>
    <row r="61" spans="1:9" s="1" customFormat="1" ht="39.75" customHeight="1" x14ac:dyDescent="0.2">
      <c r="A61" s="11"/>
      <c r="B61" s="19" t="s">
        <v>186</v>
      </c>
      <c r="C61" s="15">
        <v>408000</v>
      </c>
      <c r="D61" s="15">
        <v>408000</v>
      </c>
      <c r="E61" s="15"/>
      <c r="F61" s="23">
        <f>18980.6+25629.6</f>
        <v>44610.2</v>
      </c>
      <c r="G61" s="23">
        <f t="shared" si="5"/>
        <v>363389.8</v>
      </c>
      <c r="H61" s="23">
        <f t="shared" si="4"/>
        <v>10.933872549019608</v>
      </c>
      <c r="I61" s="26"/>
    </row>
    <row r="62" spans="1:9" s="1" customFormat="1" ht="21.75" customHeight="1" x14ac:dyDescent="0.2">
      <c r="A62" s="11"/>
      <c r="B62" s="19" t="s">
        <v>187</v>
      </c>
      <c r="C62" s="15">
        <v>60000</v>
      </c>
      <c r="D62" s="15">
        <v>60000</v>
      </c>
      <c r="E62" s="15"/>
      <c r="F62" s="23">
        <f>29890</f>
        <v>29890</v>
      </c>
      <c r="G62" s="23">
        <f t="shared" si="5"/>
        <v>30110</v>
      </c>
      <c r="H62" s="23">
        <f t="shared" si="4"/>
        <v>49.81666666666667</v>
      </c>
      <c r="I62" s="26"/>
    </row>
    <row r="63" spans="1:9" s="1" customFormat="1" ht="18" customHeight="1" x14ac:dyDescent="0.2">
      <c r="A63" s="11"/>
      <c r="B63" s="19" t="s">
        <v>164</v>
      </c>
      <c r="C63" s="15">
        <v>30000</v>
      </c>
      <c r="D63" s="15">
        <v>30000</v>
      </c>
      <c r="E63" s="15"/>
      <c r="F63" s="23">
        <v>40000</v>
      </c>
      <c r="G63" s="23">
        <f t="shared" si="5"/>
        <v>-10000</v>
      </c>
      <c r="H63" s="16">
        <f t="shared" si="4"/>
        <v>133.33333333333334</v>
      </c>
      <c r="I63" s="26"/>
    </row>
    <row r="64" spans="1:9" s="1" customFormat="1" ht="18.75" customHeight="1" x14ac:dyDescent="0.2">
      <c r="A64" s="11"/>
      <c r="B64" s="19" t="s">
        <v>165</v>
      </c>
      <c r="C64" s="15">
        <v>50000</v>
      </c>
      <c r="D64" s="15">
        <v>50000</v>
      </c>
      <c r="E64" s="15"/>
      <c r="F64" s="23">
        <v>49950</v>
      </c>
      <c r="G64" s="23">
        <f t="shared" si="5"/>
        <v>50</v>
      </c>
      <c r="H64" s="23">
        <f t="shared" si="4"/>
        <v>99.9</v>
      </c>
      <c r="I64" s="26"/>
    </row>
    <row r="65" spans="1:11" s="1" customFormat="1" ht="18.75" customHeight="1" x14ac:dyDescent="0.2">
      <c r="A65" s="11"/>
      <c r="B65" s="19" t="s">
        <v>166</v>
      </c>
      <c r="C65" s="15">
        <v>50000</v>
      </c>
      <c r="D65" s="15">
        <v>50000</v>
      </c>
      <c r="E65" s="15"/>
      <c r="F65" s="23"/>
      <c r="G65" s="23">
        <f t="shared" si="5"/>
        <v>50000</v>
      </c>
      <c r="H65" s="16">
        <f t="shared" si="4"/>
        <v>0</v>
      </c>
      <c r="I65" s="26"/>
    </row>
    <row r="66" spans="1:11" s="1" customFormat="1" ht="60.75" customHeight="1" x14ac:dyDescent="0.2">
      <c r="A66" s="11"/>
      <c r="B66" s="19" t="s">
        <v>188</v>
      </c>
      <c r="C66" s="15">
        <v>30000</v>
      </c>
      <c r="D66" s="15">
        <v>30000</v>
      </c>
      <c r="E66" s="15"/>
      <c r="F66" s="23">
        <f>1680+1250+875+900+1575+840+1050+1155+1050+840+665+1330+1520+1050+1645+1050+9150+630+735+350</f>
        <v>29340</v>
      </c>
      <c r="G66" s="23">
        <f t="shared" si="5"/>
        <v>660</v>
      </c>
      <c r="H66" s="23">
        <f t="shared" si="4"/>
        <v>97.8</v>
      </c>
      <c r="I66" s="26"/>
    </row>
    <row r="67" spans="1:11" s="1" customFormat="1" ht="39.75" customHeight="1" x14ac:dyDescent="0.2">
      <c r="A67" s="11"/>
      <c r="B67" s="19" t="s">
        <v>189</v>
      </c>
      <c r="C67" s="15">
        <v>156000</v>
      </c>
      <c r="D67" s="15">
        <v>156000</v>
      </c>
      <c r="E67" s="15"/>
      <c r="F67" s="23">
        <f>3787.2+22385+6469.2+2400+3589.6+8403.2+2951.6+6613.8</f>
        <v>56599.6</v>
      </c>
      <c r="G67" s="23">
        <f t="shared" si="5"/>
        <v>99400.4</v>
      </c>
      <c r="H67" s="23">
        <f t="shared" si="4"/>
        <v>36.281794871794872</v>
      </c>
      <c r="I67" s="26"/>
      <c r="K67" s="1" t="s">
        <v>280</v>
      </c>
    </row>
    <row r="68" spans="1:11" s="1" customFormat="1" ht="21" customHeight="1" x14ac:dyDescent="0.2">
      <c r="A68" s="11"/>
      <c r="B68" s="19" t="s">
        <v>168</v>
      </c>
      <c r="C68" s="15">
        <v>57000</v>
      </c>
      <c r="D68" s="15">
        <v>57000</v>
      </c>
      <c r="E68" s="15"/>
      <c r="F68" s="23">
        <f>1400+3360+2850+2850</f>
        <v>10460</v>
      </c>
      <c r="G68" s="23">
        <f t="shared" si="5"/>
        <v>46540</v>
      </c>
      <c r="H68" s="23">
        <f t="shared" si="4"/>
        <v>18.350877192982455</v>
      </c>
      <c r="I68" s="26"/>
    </row>
  </sheetData>
  <mergeCells count="23">
    <mergeCell ref="A2:I2"/>
    <mergeCell ref="I4:I5"/>
    <mergeCell ref="A21:B21"/>
    <mergeCell ref="A4:A5"/>
    <mergeCell ref="B4:B5"/>
    <mergeCell ref="C4:E4"/>
    <mergeCell ref="F4:H4"/>
    <mergeCell ref="A51:B51"/>
    <mergeCell ref="A53:B53"/>
    <mergeCell ref="A59:B59"/>
    <mergeCell ref="A60:B60"/>
    <mergeCell ref="A1:I1"/>
    <mergeCell ref="A22:B22"/>
    <mergeCell ref="A23:B23"/>
    <mergeCell ref="A32:B32"/>
    <mergeCell ref="A39:B39"/>
    <mergeCell ref="A42:B42"/>
    <mergeCell ref="A50:B50"/>
    <mergeCell ref="A7:B7"/>
    <mergeCell ref="A8:B8"/>
    <mergeCell ref="A14:B14"/>
    <mergeCell ref="A15:B15"/>
    <mergeCell ref="A20:B20"/>
  </mergeCells>
  <pageMargins left="0.19685039370078741" right="0.19685039370078741" top="0.27559055118110237" bottom="0.27559055118110237" header="0.31496062992125984" footer="0.31496062992125984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6" sqref="D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60" customHeight="1" x14ac:dyDescent="0.2">
      <c r="A1" s="257" t="s">
        <v>286</v>
      </c>
      <c r="B1" s="258"/>
      <c r="C1" s="258"/>
      <c r="D1" s="258"/>
      <c r="E1" s="258"/>
      <c r="F1" s="258"/>
      <c r="G1" s="258"/>
    </row>
    <row r="2" spans="1:7" x14ac:dyDescent="0.2">
      <c r="A2" s="1"/>
      <c r="B2" s="1"/>
      <c r="C2" s="1"/>
      <c r="D2" s="1"/>
      <c r="E2" s="1"/>
      <c r="F2" s="1"/>
      <c r="G2" s="1"/>
    </row>
    <row r="3" spans="1:7" ht="21" x14ac:dyDescent="0.2">
      <c r="A3" s="259" t="s">
        <v>287</v>
      </c>
      <c r="B3" s="259" t="s">
        <v>79</v>
      </c>
      <c r="C3" s="259" t="s">
        <v>288</v>
      </c>
      <c r="D3" s="259" t="s">
        <v>289</v>
      </c>
      <c r="E3" s="259"/>
      <c r="F3" s="259"/>
      <c r="G3" s="259" t="s">
        <v>0</v>
      </c>
    </row>
    <row r="4" spans="1:7" ht="21" x14ac:dyDescent="0.2">
      <c r="A4" s="259"/>
      <c r="B4" s="259"/>
      <c r="C4" s="259"/>
      <c r="D4" s="32" t="s">
        <v>290</v>
      </c>
      <c r="E4" s="32" t="s">
        <v>76</v>
      </c>
      <c r="F4" s="32" t="s">
        <v>291</v>
      </c>
      <c r="G4" s="259"/>
    </row>
    <row r="5" spans="1:7" ht="45" customHeight="1" x14ac:dyDescent="0.35">
      <c r="A5" s="33">
        <v>1</v>
      </c>
      <c r="B5" s="34" t="s">
        <v>292</v>
      </c>
      <c r="C5" s="35">
        <v>250000</v>
      </c>
      <c r="D5" s="36">
        <f>12161.29+13000+13000+13000</f>
        <v>51161.29</v>
      </c>
      <c r="E5" s="37">
        <f>D5*100/C5</f>
        <v>20.464516</v>
      </c>
      <c r="F5" s="38">
        <f>C5-D5</f>
        <v>198838.71</v>
      </c>
      <c r="G5" s="39" t="s">
        <v>293</v>
      </c>
    </row>
    <row r="6" spans="1:7" ht="21" x14ac:dyDescent="0.35">
      <c r="A6" s="40"/>
      <c r="B6" s="40" t="s">
        <v>114</v>
      </c>
      <c r="C6" s="41">
        <f>C5</f>
        <v>250000</v>
      </c>
      <c r="D6" s="41">
        <f>D5</f>
        <v>51161.29</v>
      </c>
      <c r="E6" s="42">
        <f>E5</f>
        <v>20.464516</v>
      </c>
      <c r="F6" s="41">
        <f>F5</f>
        <v>198838.71</v>
      </c>
      <c r="G6" s="43"/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M8" sqref="M8"/>
    </sheetView>
  </sheetViews>
  <sheetFormatPr defaultRowHeight="14.25" x14ac:dyDescent="0.2"/>
  <cols>
    <col min="1" max="1" width="3" style="1" customWidth="1"/>
    <col min="2" max="2" width="45.75" style="1" customWidth="1"/>
    <col min="3" max="3" width="12.5" style="1" customWidth="1"/>
    <col min="4" max="4" width="11.375" style="1" customWidth="1"/>
    <col min="5" max="5" width="12.5" style="1" customWidth="1"/>
    <col min="6" max="6" width="11.625" style="1" customWidth="1"/>
    <col min="7" max="16384" width="9" style="1"/>
  </cols>
  <sheetData>
    <row r="1" spans="1:6" ht="23.25" customHeight="1" x14ac:dyDescent="0.2">
      <c r="A1" s="226" t="s">
        <v>201</v>
      </c>
      <c r="B1" s="226"/>
      <c r="C1" s="226"/>
      <c r="D1" s="226"/>
      <c r="E1" s="226"/>
      <c r="F1" s="226"/>
    </row>
    <row r="2" spans="1:6" ht="23.25" customHeight="1" x14ac:dyDescent="0.2">
      <c r="A2" s="226" t="s">
        <v>295</v>
      </c>
      <c r="B2" s="226"/>
      <c r="C2" s="226"/>
      <c r="D2" s="226"/>
      <c r="E2" s="226"/>
      <c r="F2" s="226"/>
    </row>
    <row r="3" spans="1:6" ht="17.25" hidden="1" customHeight="1" x14ac:dyDescent="0.2">
      <c r="A3" s="227"/>
      <c r="B3" s="227"/>
      <c r="C3" s="227"/>
      <c r="D3" s="227"/>
      <c r="E3" s="227"/>
      <c r="F3" s="227"/>
    </row>
    <row r="4" spans="1:6" ht="19.5" customHeight="1" x14ac:dyDescent="0.45">
      <c r="A4" s="20"/>
      <c r="B4" s="20"/>
      <c r="C4" s="20"/>
      <c r="D4" s="20"/>
      <c r="E4" s="20"/>
      <c r="F4" s="193"/>
    </row>
    <row r="5" spans="1:6" ht="19.5" customHeight="1" x14ac:dyDescent="0.2">
      <c r="A5" s="228" t="s">
        <v>78</v>
      </c>
      <c r="B5" s="228" t="s">
        <v>79</v>
      </c>
      <c r="C5" s="228" t="s">
        <v>196</v>
      </c>
      <c r="D5" s="228"/>
      <c r="E5" s="228"/>
      <c r="F5" s="229" t="s">
        <v>0</v>
      </c>
    </row>
    <row r="6" spans="1:6" ht="42.75" customHeight="1" x14ac:dyDescent="0.2">
      <c r="A6" s="228"/>
      <c r="B6" s="228"/>
      <c r="C6" s="192" t="s">
        <v>114</v>
      </c>
      <c r="D6" s="192" t="s">
        <v>83</v>
      </c>
      <c r="E6" s="192" t="s">
        <v>82</v>
      </c>
      <c r="F6" s="230"/>
    </row>
    <row r="7" spans="1:6" ht="23.25" customHeight="1" x14ac:dyDescent="0.2">
      <c r="A7" s="235" t="s">
        <v>1</v>
      </c>
      <c r="B7" s="235"/>
      <c r="C7" s="73">
        <f>D7+E7</f>
        <v>185998300</v>
      </c>
      <c r="D7" s="74">
        <f>D8+D115+D130+D140+D152+D153</f>
        <v>49056600</v>
      </c>
      <c r="E7" s="74">
        <f>E8+E115+E130+E140+E153</f>
        <v>136941700</v>
      </c>
      <c r="F7" s="76"/>
    </row>
    <row r="8" spans="1:6" ht="23.25" customHeight="1" x14ac:dyDescent="0.2">
      <c r="A8" s="235" t="s">
        <v>2</v>
      </c>
      <c r="B8" s="235"/>
      <c r="C8" s="73">
        <f>C9+C40+C79+C96+C106+C109</f>
        <v>151220500</v>
      </c>
      <c r="D8" s="73">
        <f>D9+D40+D79+D96+D106+D109</f>
        <v>20649300</v>
      </c>
      <c r="E8" s="73">
        <f>E9+E40+E79+E96+E106+E109</f>
        <v>130571200</v>
      </c>
      <c r="F8" s="78"/>
    </row>
    <row r="9" spans="1:6" ht="18.75" customHeight="1" x14ac:dyDescent="0.2">
      <c r="A9" s="221" t="s">
        <v>205</v>
      </c>
      <c r="B9" s="222"/>
      <c r="C9" s="73">
        <f>E9</f>
        <v>83276300</v>
      </c>
      <c r="D9" s="73">
        <f t="shared" ref="D9:E9" si="0">D10+D31+D34</f>
        <v>0</v>
      </c>
      <c r="E9" s="73">
        <f t="shared" si="0"/>
        <v>83276300</v>
      </c>
      <c r="F9" s="78"/>
    </row>
    <row r="10" spans="1:6" ht="21" customHeight="1" x14ac:dyDescent="0.2">
      <c r="A10" s="221" t="s">
        <v>206</v>
      </c>
      <c r="B10" s="222"/>
      <c r="C10" s="73">
        <f>E10</f>
        <v>71682600</v>
      </c>
      <c r="D10" s="73">
        <f t="shared" ref="D10:E10" si="1">D11+D12+D13+D14+D15+D16+D17+D18+D19+D20+D21+D22+D23+D24+D25+D26+D27+D28+D29+D30</f>
        <v>0</v>
      </c>
      <c r="E10" s="73">
        <f t="shared" si="1"/>
        <v>71682600</v>
      </c>
      <c r="F10" s="81"/>
    </row>
    <row r="11" spans="1:6" ht="41.25" customHeight="1" x14ac:dyDescent="0.2">
      <c r="A11" s="82">
        <v>1</v>
      </c>
      <c r="B11" s="83" t="s">
        <v>233</v>
      </c>
      <c r="C11" s="45">
        <f>E11</f>
        <v>1248000</v>
      </c>
      <c r="D11" s="84">
        <v>0</v>
      </c>
      <c r="E11" s="85">
        <f>1507000-259000</f>
        <v>1248000</v>
      </c>
      <c r="F11" s="90" t="s">
        <v>3</v>
      </c>
    </row>
    <row r="12" spans="1:6" ht="40.5" customHeight="1" x14ac:dyDescent="0.2">
      <c r="A12" s="82">
        <v>2</v>
      </c>
      <c r="B12" s="83" t="s">
        <v>234</v>
      </c>
      <c r="C12" s="45">
        <f t="shared" ref="C12:C30" si="2">E12</f>
        <v>7776000</v>
      </c>
      <c r="D12" s="84">
        <v>0</v>
      </c>
      <c r="E12" s="91">
        <f>8000000-224000</f>
        <v>7776000</v>
      </c>
      <c r="F12" s="90" t="s">
        <v>3</v>
      </c>
    </row>
    <row r="13" spans="1:6" ht="57.75" customHeight="1" x14ac:dyDescent="0.2">
      <c r="A13" s="82">
        <v>3</v>
      </c>
      <c r="B13" s="83" t="s">
        <v>235</v>
      </c>
      <c r="C13" s="45">
        <f t="shared" si="2"/>
        <v>3740000</v>
      </c>
      <c r="D13" s="84">
        <v>0</v>
      </c>
      <c r="E13" s="91">
        <f>3753100-13100</f>
        <v>3740000</v>
      </c>
      <c r="F13" s="90" t="s">
        <v>4</v>
      </c>
    </row>
    <row r="14" spans="1:6" ht="58.5" customHeight="1" x14ac:dyDescent="0.2">
      <c r="A14" s="82">
        <v>4</v>
      </c>
      <c r="B14" s="83" t="s">
        <v>236</v>
      </c>
      <c r="C14" s="45">
        <f t="shared" si="2"/>
        <v>3835000</v>
      </c>
      <c r="D14" s="84">
        <v>0</v>
      </c>
      <c r="E14" s="91">
        <f>3850000-15000</f>
        <v>3835000</v>
      </c>
      <c r="F14" s="90" t="s">
        <v>4</v>
      </c>
    </row>
    <row r="15" spans="1:6" ht="41.25" customHeight="1" x14ac:dyDescent="0.2">
      <c r="A15" s="82">
        <v>5</v>
      </c>
      <c r="B15" s="83" t="s">
        <v>237</v>
      </c>
      <c r="C15" s="45">
        <f t="shared" si="2"/>
        <v>8800000</v>
      </c>
      <c r="D15" s="84">
        <v>0</v>
      </c>
      <c r="E15" s="91">
        <f>8820000-20000</f>
        <v>8800000</v>
      </c>
      <c r="F15" s="90" t="s">
        <v>5</v>
      </c>
    </row>
    <row r="16" spans="1:6" ht="60" customHeight="1" x14ac:dyDescent="0.2">
      <c r="A16" s="82">
        <v>6</v>
      </c>
      <c r="B16" s="83" t="s">
        <v>238</v>
      </c>
      <c r="C16" s="45">
        <f t="shared" si="2"/>
        <v>2390000</v>
      </c>
      <c r="D16" s="84">
        <v>0</v>
      </c>
      <c r="E16" s="91">
        <f>2400000-10000</f>
        <v>2390000</v>
      </c>
      <c r="F16" s="90" t="s">
        <v>5</v>
      </c>
    </row>
    <row r="17" spans="1:6" ht="37.5" x14ac:dyDescent="0.2">
      <c r="A17" s="82">
        <v>7</v>
      </c>
      <c r="B17" s="83" t="s">
        <v>6</v>
      </c>
      <c r="C17" s="45">
        <f t="shared" si="2"/>
        <v>1000000</v>
      </c>
      <c r="D17" s="84">
        <v>0</v>
      </c>
      <c r="E17" s="91">
        <f>1476000-476000</f>
        <v>1000000</v>
      </c>
      <c r="F17" s="90" t="s">
        <v>7</v>
      </c>
    </row>
    <row r="18" spans="1:6" ht="37.5" x14ac:dyDescent="0.2">
      <c r="A18" s="82">
        <v>8</v>
      </c>
      <c r="B18" s="83" t="s">
        <v>239</v>
      </c>
      <c r="C18" s="45">
        <f t="shared" si="2"/>
        <v>3470000</v>
      </c>
      <c r="D18" s="84">
        <v>0</v>
      </c>
      <c r="E18" s="91">
        <f>3527000-57000</f>
        <v>3470000</v>
      </c>
      <c r="F18" s="90" t="s">
        <v>7</v>
      </c>
    </row>
    <row r="19" spans="1:6" ht="56.25" x14ac:dyDescent="0.2">
      <c r="A19" s="82">
        <v>9</v>
      </c>
      <c r="B19" s="83" t="s">
        <v>240</v>
      </c>
      <c r="C19" s="45">
        <f t="shared" si="2"/>
        <v>2729900</v>
      </c>
      <c r="D19" s="84">
        <v>0</v>
      </c>
      <c r="E19" s="85">
        <v>2729900</v>
      </c>
      <c r="F19" s="90" t="s">
        <v>7</v>
      </c>
    </row>
    <row r="20" spans="1:6" ht="56.25" x14ac:dyDescent="0.2">
      <c r="A20" s="82">
        <v>10</v>
      </c>
      <c r="B20" s="83" t="s">
        <v>241</v>
      </c>
      <c r="C20" s="45">
        <f t="shared" si="2"/>
        <v>2211000</v>
      </c>
      <c r="D20" s="84">
        <v>0</v>
      </c>
      <c r="E20" s="91">
        <v>2211000</v>
      </c>
      <c r="F20" s="90" t="s">
        <v>7</v>
      </c>
    </row>
    <row r="21" spans="1:6" ht="37.5" x14ac:dyDescent="0.2">
      <c r="A21" s="82">
        <v>11</v>
      </c>
      <c r="B21" s="93" t="s">
        <v>8</v>
      </c>
      <c r="C21" s="45">
        <f t="shared" si="2"/>
        <v>2295700</v>
      </c>
      <c r="D21" s="84">
        <v>0</v>
      </c>
      <c r="E21" s="91">
        <v>2295700</v>
      </c>
      <c r="F21" s="90" t="s">
        <v>7</v>
      </c>
    </row>
    <row r="22" spans="1:6" ht="37.5" x14ac:dyDescent="0.2">
      <c r="A22" s="82">
        <v>12</v>
      </c>
      <c r="B22" s="93" t="s">
        <v>242</v>
      </c>
      <c r="C22" s="45">
        <f t="shared" si="2"/>
        <v>1686000</v>
      </c>
      <c r="D22" s="84">
        <v>0</v>
      </c>
      <c r="E22" s="91">
        <v>1686000</v>
      </c>
      <c r="F22" s="90" t="s">
        <v>7</v>
      </c>
    </row>
    <row r="23" spans="1:6" ht="37.5" x14ac:dyDescent="0.2">
      <c r="A23" s="82">
        <v>13</v>
      </c>
      <c r="B23" s="93" t="s">
        <v>115</v>
      </c>
      <c r="C23" s="45">
        <f t="shared" si="2"/>
        <v>3150000</v>
      </c>
      <c r="D23" s="84">
        <v>0</v>
      </c>
      <c r="E23" s="91">
        <f>3685800-535800</f>
        <v>3150000</v>
      </c>
      <c r="F23" s="26" t="s">
        <v>9</v>
      </c>
    </row>
    <row r="24" spans="1:6" ht="56.25" x14ac:dyDescent="0.2">
      <c r="A24" s="82">
        <v>14</v>
      </c>
      <c r="B24" s="93" t="s">
        <v>243</v>
      </c>
      <c r="C24" s="45">
        <f t="shared" si="2"/>
        <v>2250000</v>
      </c>
      <c r="D24" s="84">
        <v>0</v>
      </c>
      <c r="E24" s="91">
        <f>2945500-695500</f>
        <v>2250000</v>
      </c>
      <c r="F24" s="90" t="s">
        <v>9</v>
      </c>
    </row>
    <row r="25" spans="1:6" ht="37.5" x14ac:dyDescent="0.2">
      <c r="A25" s="82">
        <v>15</v>
      </c>
      <c r="B25" s="93" t="s">
        <v>244</v>
      </c>
      <c r="C25" s="45">
        <f t="shared" si="2"/>
        <v>1900000</v>
      </c>
      <c r="D25" s="84">
        <v>0</v>
      </c>
      <c r="E25" s="91">
        <f>2000000-100000</f>
        <v>1900000</v>
      </c>
      <c r="F25" s="90" t="s">
        <v>9</v>
      </c>
    </row>
    <row r="26" spans="1:6" ht="37.5" x14ac:dyDescent="0.2">
      <c r="A26" s="82">
        <v>16</v>
      </c>
      <c r="B26" s="93" t="s">
        <v>245</v>
      </c>
      <c r="C26" s="45">
        <f t="shared" si="2"/>
        <v>2890000</v>
      </c>
      <c r="D26" s="84">
        <v>0</v>
      </c>
      <c r="E26" s="91">
        <f>3400000-510000</f>
        <v>2890000</v>
      </c>
      <c r="F26" s="90" t="s">
        <v>9</v>
      </c>
    </row>
    <row r="27" spans="1:6" ht="37.5" x14ac:dyDescent="0.2">
      <c r="A27" s="82">
        <v>17</v>
      </c>
      <c r="B27" s="93" t="s">
        <v>246</v>
      </c>
      <c r="C27" s="45">
        <f t="shared" si="2"/>
        <v>3090000</v>
      </c>
      <c r="D27" s="84">
        <v>0</v>
      </c>
      <c r="E27" s="91">
        <v>3090000</v>
      </c>
      <c r="F27" s="90" t="s">
        <v>10</v>
      </c>
    </row>
    <row r="28" spans="1:6" ht="37.5" x14ac:dyDescent="0.2">
      <c r="A28" s="82">
        <v>18</v>
      </c>
      <c r="B28" s="93" t="s">
        <v>247</v>
      </c>
      <c r="C28" s="45">
        <f t="shared" si="2"/>
        <v>3296000</v>
      </c>
      <c r="D28" s="84">
        <v>0</v>
      </c>
      <c r="E28" s="91">
        <v>3296000</v>
      </c>
      <c r="F28" s="90" t="s">
        <v>10</v>
      </c>
    </row>
    <row r="29" spans="1:6" ht="56.25" x14ac:dyDescent="0.2">
      <c r="A29" s="82">
        <v>19</v>
      </c>
      <c r="B29" s="93" t="s">
        <v>248</v>
      </c>
      <c r="C29" s="45">
        <f t="shared" si="2"/>
        <v>8775000</v>
      </c>
      <c r="D29" s="84">
        <v>0</v>
      </c>
      <c r="E29" s="91">
        <v>8775000</v>
      </c>
      <c r="F29" s="90" t="s">
        <v>10</v>
      </c>
    </row>
    <row r="30" spans="1:6" ht="56.25" x14ac:dyDescent="0.2">
      <c r="A30" s="82">
        <v>20</v>
      </c>
      <c r="B30" s="93" t="s">
        <v>249</v>
      </c>
      <c r="C30" s="45">
        <f t="shared" si="2"/>
        <v>5150000</v>
      </c>
      <c r="D30" s="84">
        <v>0</v>
      </c>
      <c r="E30" s="91">
        <v>5150000</v>
      </c>
      <c r="F30" s="90" t="s">
        <v>10</v>
      </c>
    </row>
    <row r="31" spans="1:6" ht="21" x14ac:dyDescent="0.2">
      <c r="A31" s="223" t="s">
        <v>207</v>
      </c>
      <c r="B31" s="223"/>
      <c r="C31" s="45">
        <f>E31</f>
        <v>3933000</v>
      </c>
      <c r="D31" s="94">
        <v>0</v>
      </c>
      <c r="E31" s="94">
        <f>E32+E33</f>
        <v>3933000</v>
      </c>
      <c r="F31" s="26"/>
    </row>
    <row r="32" spans="1:6" ht="37.5" x14ac:dyDescent="0.2">
      <c r="A32" s="82">
        <v>21</v>
      </c>
      <c r="B32" s="83" t="s">
        <v>250</v>
      </c>
      <c r="C32" s="45">
        <f>E32</f>
        <v>1210000</v>
      </c>
      <c r="D32" s="84">
        <v>0</v>
      </c>
      <c r="E32" s="91">
        <v>1210000</v>
      </c>
      <c r="F32" s="90" t="s">
        <v>7</v>
      </c>
    </row>
    <row r="33" spans="1:6" ht="37.5" x14ac:dyDescent="0.2">
      <c r="A33" s="82">
        <v>22</v>
      </c>
      <c r="B33" s="93" t="s">
        <v>251</v>
      </c>
      <c r="C33" s="45">
        <f>E33</f>
        <v>2723000</v>
      </c>
      <c r="D33" s="84">
        <v>0</v>
      </c>
      <c r="E33" s="91">
        <v>2723000</v>
      </c>
      <c r="F33" s="90" t="s">
        <v>7</v>
      </c>
    </row>
    <row r="34" spans="1:6" ht="21" x14ac:dyDescent="0.2">
      <c r="A34" s="223" t="s">
        <v>208</v>
      </c>
      <c r="B34" s="223"/>
      <c r="C34" s="45">
        <f>E34</f>
        <v>7660700</v>
      </c>
      <c r="D34" s="45">
        <f t="shared" ref="D34:E34" si="3">D35+D36+D37+D38+D39</f>
        <v>0</v>
      </c>
      <c r="E34" s="45">
        <f t="shared" si="3"/>
        <v>7660700</v>
      </c>
      <c r="F34" s="96"/>
    </row>
    <row r="35" spans="1:6" ht="37.5" x14ac:dyDescent="0.2">
      <c r="A35" s="82">
        <v>23</v>
      </c>
      <c r="B35" s="93" t="s">
        <v>252</v>
      </c>
      <c r="C35" s="45">
        <f>E35</f>
        <v>990000</v>
      </c>
      <c r="D35" s="84">
        <v>0</v>
      </c>
      <c r="E35" s="85">
        <f>1135000-145000</f>
        <v>990000</v>
      </c>
      <c r="F35" s="90" t="s">
        <v>3</v>
      </c>
    </row>
    <row r="36" spans="1:6" ht="37.5" x14ac:dyDescent="0.2">
      <c r="A36" s="82">
        <v>24</v>
      </c>
      <c r="B36" s="93" t="s">
        <v>11</v>
      </c>
      <c r="C36" s="45">
        <f t="shared" ref="C36:C39" si="4">E36</f>
        <v>1662000</v>
      </c>
      <c r="D36" s="84">
        <v>0</v>
      </c>
      <c r="E36" s="91">
        <f>1665000-3000</f>
        <v>1662000</v>
      </c>
      <c r="F36" s="90" t="s">
        <v>5</v>
      </c>
    </row>
    <row r="37" spans="1:6" ht="37.5" x14ac:dyDescent="0.2">
      <c r="A37" s="82">
        <v>25</v>
      </c>
      <c r="B37" s="93" t="s">
        <v>335</v>
      </c>
      <c r="C37" s="45">
        <f t="shared" si="4"/>
        <v>1673700</v>
      </c>
      <c r="D37" s="84">
        <v>0</v>
      </c>
      <c r="E37" s="85">
        <f>1788400-114700</f>
        <v>1673700</v>
      </c>
      <c r="F37" s="90" t="s">
        <v>7</v>
      </c>
    </row>
    <row r="38" spans="1:6" ht="37.5" x14ac:dyDescent="0.2">
      <c r="A38" s="82">
        <v>26</v>
      </c>
      <c r="B38" s="93" t="s">
        <v>253</v>
      </c>
      <c r="C38" s="45">
        <f t="shared" si="4"/>
        <v>930000</v>
      </c>
      <c r="D38" s="84">
        <v>0</v>
      </c>
      <c r="E38" s="91">
        <f>985000-55000</f>
        <v>930000</v>
      </c>
      <c r="F38" s="90" t="s">
        <v>9</v>
      </c>
    </row>
    <row r="39" spans="1:6" ht="56.25" x14ac:dyDescent="0.2">
      <c r="A39" s="82">
        <v>27</v>
      </c>
      <c r="B39" s="93" t="s">
        <v>343</v>
      </c>
      <c r="C39" s="45">
        <f t="shared" si="4"/>
        <v>2405000</v>
      </c>
      <c r="D39" s="84">
        <v>0</v>
      </c>
      <c r="E39" s="97">
        <f>2701800-296800</f>
        <v>2405000</v>
      </c>
      <c r="F39" s="90" t="s">
        <v>9</v>
      </c>
    </row>
    <row r="40" spans="1:6" ht="21" x14ac:dyDescent="0.2">
      <c r="A40" s="221" t="s">
        <v>209</v>
      </c>
      <c r="B40" s="222"/>
      <c r="C40" s="73">
        <f>D40+E40</f>
        <v>17105000</v>
      </c>
      <c r="D40" s="73">
        <f t="shared" ref="D40:E40" si="5">D41+D58+D75</f>
        <v>12605000</v>
      </c>
      <c r="E40" s="73">
        <f t="shared" si="5"/>
        <v>4500000</v>
      </c>
      <c r="F40" s="99"/>
    </row>
    <row r="41" spans="1:6" ht="21" x14ac:dyDescent="0.2">
      <c r="A41" s="224" t="s">
        <v>210</v>
      </c>
      <c r="B41" s="222"/>
      <c r="C41" s="73">
        <f>D41+E41</f>
        <v>5888400</v>
      </c>
      <c r="D41" s="73">
        <f t="shared" ref="D41:E41" si="6">D42+D47+D54</f>
        <v>3750400</v>
      </c>
      <c r="E41" s="73">
        <f t="shared" si="6"/>
        <v>2138000</v>
      </c>
      <c r="F41" s="100"/>
    </row>
    <row r="42" spans="1:6" ht="56.25" x14ac:dyDescent="0.2">
      <c r="A42" s="5">
        <v>28</v>
      </c>
      <c r="B42" s="191" t="s">
        <v>306</v>
      </c>
      <c r="C42" s="45">
        <f>D42+E42</f>
        <v>1225000</v>
      </c>
      <c r="D42" s="102">
        <f>D43</f>
        <v>1116000</v>
      </c>
      <c r="E42" s="102">
        <f>E44</f>
        <v>109000</v>
      </c>
      <c r="F42" s="90" t="s">
        <v>12</v>
      </c>
    </row>
    <row r="43" spans="1:6" ht="21" x14ac:dyDescent="0.2">
      <c r="A43" s="5"/>
      <c r="B43" s="83" t="s">
        <v>83</v>
      </c>
      <c r="C43" s="45">
        <f>D43</f>
        <v>1116000</v>
      </c>
      <c r="D43" s="102">
        <v>1116000</v>
      </c>
      <c r="E43" s="102"/>
      <c r="F43" s="90"/>
    </row>
    <row r="44" spans="1:6" ht="21" x14ac:dyDescent="0.2">
      <c r="A44" s="5"/>
      <c r="B44" s="83" t="s">
        <v>263</v>
      </c>
      <c r="C44" s="45">
        <f>E44</f>
        <v>109000</v>
      </c>
      <c r="D44" s="102"/>
      <c r="E44" s="102">
        <f>E45+E46</f>
        <v>109000</v>
      </c>
      <c r="F44" s="90"/>
    </row>
    <row r="45" spans="1:6" ht="34.5" x14ac:dyDescent="0.2">
      <c r="A45" s="5"/>
      <c r="B45" s="83" t="s">
        <v>270</v>
      </c>
      <c r="C45" s="45">
        <f>E45</f>
        <v>80000</v>
      </c>
      <c r="D45" s="102"/>
      <c r="E45" s="102">
        <v>80000</v>
      </c>
      <c r="F45" s="90" t="s">
        <v>267</v>
      </c>
    </row>
    <row r="46" spans="1:6" ht="34.5" x14ac:dyDescent="0.2">
      <c r="A46" s="5"/>
      <c r="B46" s="83" t="s">
        <v>271</v>
      </c>
      <c r="C46" s="45">
        <f>E46</f>
        <v>29000</v>
      </c>
      <c r="D46" s="102"/>
      <c r="E46" s="102">
        <v>29000</v>
      </c>
      <c r="F46" s="90" t="s">
        <v>269</v>
      </c>
    </row>
    <row r="47" spans="1:6" ht="56.25" x14ac:dyDescent="0.2">
      <c r="A47" s="5">
        <v>29</v>
      </c>
      <c r="B47" s="191" t="s">
        <v>305</v>
      </c>
      <c r="C47" s="73">
        <f t="shared" ref="C47:C81" si="7">D47+E47</f>
        <v>3420400</v>
      </c>
      <c r="D47" s="74">
        <f>D48</f>
        <v>1474400</v>
      </c>
      <c r="E47" s="74">
        <f>E49</f>
        <v>1946000</v>
      </c>
      <c r="F47" s="154" t="s">
        <v>12</v>
      </c>
    </row>
    <row r="48" spans="1:6" ht="21" x14ac:dyDescent="0.2">
      <c r="A48" s="5"/>
      <c r="B48" s="83" t="s">
        <v>83</v>
      </c>
      <c r="C48" s="45">
        <f>D48</f>
        <v>1474400</v>
      </c>
      <c r="D48" s="84">
        <v>1474400</v>
      </c>
      <c r="E48" s="84"/>
      <c r="F48" s="90"/>
    </row>
    <row r="49" spans="1:6" ht="21" x14ac:dyDescent="0.2">
      <c r="A49" s="5"/>
      <c r="B49" s="83" t="s">
        <v>263</v>
      </c>
      <c r="C49" s="45">
        <f>E49</f>
        <v>1946000</v>
      </c>
      <c r="D49" s="84"/>
      <c r="E49" s="84">
        <f>E50+E51+E52+E53</f>
        <v>1946000</v>
      </c>
      <c r="F49" s="90"/>
    </row>
    <row r="50" spans="1:6" ht="37.5" x14ac:dyDescent="0.2">
      <c r="A50" s="5"/>
      <c r="B50" s="83" t="s">
        <v>264</v>
      </c>
      <c r="C50" s="45">
        <f>E50</f>
        <v>30000</v>
      </c>
      <c r="D50" s="84"/>
      <c r="E50" s="84">
        <v>30000</v>
      </c>
      <c r="F50" s="90" t="s">
        <v>12</v>
      </c>
    </row>
    <row r="51" spans="1:6" ht="34.5" x14ac:dyDescent="0.2">
      <c r="A51" s="5"/>
      <c r="B51" s="83" t="s">
        <v>265</v>
      </c>
      <c r="C51" s="45">
        <f t="shared" ref="C51:C53" si="8">E51</f>
        <v>1680000</v>
      </c>
      <c r="D51" s="84"/>
      <c r="E51" s="84">
        <f>1700000-20000</f>
        <v>1680000</v>
      </c>
      <c r="F51" s="90" t="s">
        <v>12</v>
      </c>
    </row>
    <row r="52" spans="1:6" ht="37.5" x14ac:dyDescent="0.2">
      <c r="A52" s="5"/>
      <c r="B52" s="83" t="s">
        <v>266</v>
      </c>
      <c r="C52" s="45">
        <f t="shared" si="8"/>
        <v>170000</v>
      </c>
      <c r="D52" s="84"/>
      <c r="E52" s="84">
        <v>170000</v>
      </c>
      <c r="F52" s="90" t="s">
        <v>267</v>
      </c>
    </row>
    <row r="53" spans="1:6" ht="34.5" x14ac:dyDescent="0.2">
      <c r="A53" s="5"/>
      <c r="B53" s="83" t="s">
        <v>268</v>
      </c>
      <c r="C53" s="45">
        <f t="shared" si="8"/>
        <v>66000</v>
      </c>
      <c r="D53" s="84"/>
      <c r="E53" s="84">
        <v>66000</v>
      </c>
      <c r="F53" s="90" t="s">
        <v>269</v>
      </c>
    </row>
    <row r="54" spans="1:6" ht="56.25" x14ac:dyDescent="0.2">
      <c r="A54" s="5">
        <v>30</v>
      </c>
      <c r="B54" s="191" t="s">
        <v>304</v>
      </c>
      <c r="C54" s="73">
        <f t="shared" si="7"/>
        <v>1243000</v>
      </c>
      <c r="D54" s="155">
        <f>D55</f>
        <v>1160000</v>
      </c>
      <c r="E54" s="80">
        <f>E56</f>
        <v>83000</v>
      </c>
      <c r="F54" s="154" t="s">
        <v>12</v>
      </c>
    </row>
    <row r="55" spans="1:6" ht="21" x14ac:dyDescent="0.2">
      <c r="A55" s="104"/>
      <c r="B55" s="150" t="s">
        <v>83</v>
      </c>
      <c r="C55" s="45">
        <f>D55</f>
        <v>1160000</v>
      </c>
      <c r="D55" s="91">
        <v>1160000</v>
      </c>
      <c r="E55" s="94"/>
      <c r="F55" s="90"/>
    </row>
    <row r="56" spans="1:6" ht="21" x14ac:dyDescent="0.2">
      <c r="A56" s="104"/>
      <c r="B56" s="105" t="s">
        <v>82</v>
      </c>
      <c r="C56" s="45">
        <f>E56</f>
        <v>83000</v>
      </c>
      <c r="D56" s="91"/>
      <c r="E56" s="94">
        <f>E57</f>
        <v>83000</v>
      </c>
      <c r="F56" s="90"/>
    </row>
    <row r="57" spans="1:6" ht="34.5" x14ac:dyDescent="0.2">
      <c r="A57" s="104"/>
      <c r="B57" s="105" t="s">
        <v>272</v>
      </c>
      <c r="C57" s="45">
        <f>E57</f>
        <v>83000</v>
      </c>
      <c r="D57" s="91"/>
      <c r="E57" s="94">
        <v>83000</v>
      </c>
      <c r="F57" s="90" t="s">
        <v>273</v>
      </c>
    </row>
    <row r="58" spans="1:6" ht="21" x14ac:dyDescent="0.2">
      <c r="A58" s="225" t="s">
        <v>211</v>
      </c>
      <c r="B58" s="225"/>
      <c r="C58" s="73">
        <f>D58+E58</f>
        <v>10316600</v>
      </c>
      <c r="D58" s="73">
        <f t="shared" ref="D58:E58" si="9">D59+D63+D68+D74</f>
        <v>7954600</v>
      </c>
      <c r="E58" s="73">
        <f t="shared" si="9"/>
        <v>2362000</v>
      </c>
      <c r="F58" s="25"/>
    </row>
    <row r="59" spans="1:6" ht="34.5" x14ac:dyDescent="0.2">
      <c r="A59" s="5">
        <v>31</v>
      </c>
      <c r="B59" s="93" t="s">
        <v>13</v>
      </c>
      <c r="C59" s="45">
        <f t="shared" si="7"/>
        <v>2000000</v>
      </c>
      <c r="D59" s="94">
        <f>D60</f>
        <v>1200000</v>
      </c>
      <c r="E59" s="94">
        <f>E61</f>
        <v>800000</v>
      </c>
      <c r="F59" s="90" t="s">
        <v>14</v>
      </c>
    </row>
    <row r="60" spans="1:6" ht="21" x14ac:dyDescent="0.2">
      <c r="A60" s="5"/>
      <c r="B60" s="93" t="s">
        <v>83</v>
      </c>
      <c r="C60" s="45">
        <f>D60</f>
        <v>1200000</v>
      </c>
      <c r="D60" s="94">
        <v>1200000</v>
      </c>
      <c r="E60" s="94"/>
      <c r="F60" s="90"/>
    </row>
    <row r="61" spans="1:6" ht="21" x14ac:dyDescent="0.2">
      <c r="A61" s="5"/>
      <c r="B61" s="93" t="s">
        <v>82</v>
      </c>
      <c r="C61" s="45"/>
      <c r="D61" s="94"/>
      <c r="E61" s="94">
        <f>E62</f>
        <v>800000</v>
      </c>
      <c r="F61" s="90"/>
    </row>
    <row r="62" spans="1:6" ht="37.5" x14ac:dyDescent="0.2">
      <c r="A62" s="5"/>
      <c r="B62" s="93" t="s">
        <v>313</v>
      </c>
      <c r="C62" s="45">
        <f>E62</f>
        <v>800000</v>
      </c>
      <c r="D62" s="94"/>
      <c r="E62" s="94">
        <v>800000</v>
      </c>
      <c r="F62" s="90"/>
    </row>
    <row r="63" spans="1:6" ht="34.5" x14ac:dyDescent="0.2">
      <c r="A63" s="5">
        <v>32</v>
      </c>
      <c r="B63" s="108" t="s">
        <v>15</v>
      </c>
      <c r="C63" s="45">
        <f t="shared" si="7"/>
        <v>2066000</v>
      </c>
      <c r="D63" s="94">
        <v>1590000</v>
      </c>
      <c r="E63" s="94">
        <f>E65</f>
        <v>476000</v>
      </c>
      <c r="F63" s="90" t="s">
        <v>16</v>
      </c>
    </row>
    <row r="64" spans="1:6" ht="21" x14ac:dyDescent="0.2">
      <c r="A64" s="5"/>
      <c r="B64" s="108" t="s">
        <v>311</v>
      </c>
      <c r="C64" s="45">
        <f>D64</f>
        <v>1590000</v>
      </c>
      <c r="D64" s="94">
        <v>1590000</v>
      </c>
      <c r="E64" s="94"/>
      <c r="F64" s="90"/>
    </row>
    <row r="65" spans="1:6" ht="21" x14ac:dyDescent="0.2">
      <c r="A65" s="5"/>
      <c r="B65" s="108" t="s">
        <v>263</v>
      </c>
      <c r="C65" s="45">
        <f>E65</f>
        <v>476000</v>
      </c>
      <c r="D65" s="94"/>
      <c r="E65" s="94">
        <f>E66+E67</f>
        <v>476000</v>
      </c>
      <c r="F65" s="90"/>
    </row>
    <row r="66" spans="1:6" ht="34.5" customHeight="1" x14ac:dyDescent="0.2">
      <c r="A66" s="5"/>
      <c r="B66" s="83" t="s">
        <v>391</v>
      </c>
      <c r="C66" s="45">
        <f>E66</f>
        <v>238000</v>
      </c>
      <c r="D66" s="94"/>
      <c r="E66" s="94">
        <v>238000</v>
      </c>
      <c r="F66" s="90"/>
    </row>
    <row r="67" spans="1:6" ht="21" x14ac:dyDescent="0.2">
      <c r="A67" s="5"/>
      <c r="B67" s="83" t="s">
        <v>312</v>
      </c>
      <c r="C67" s="45">
        <f>E67</f>
        <v>238000</v>
      </c>
      <c r="D67" s="94"/>
      <c r="E67" s="94">
        <v>238000</v>
      </c>
      <c r="F67" s="90"/>
    </row>
    <row r="68" spans="1:6" ht="37.5" x14ac:dyDescent="0.2">
      <c r="A68" s="5">
        <v>33</v>
      </c>
      <c r="B68" s="83" t="s">
        <v>17</v>
      </c>
      <c r="C68" s="45">
        <f t="shared" si="7"/>
        <v>1795600</v>
      </c>
      <c r="D68" s="85">
        <f>D69</f>
        <v>709600</v>
      </c>
      <c r="E68" s="94">
        <f>E70</f>
        <v>1086000</v>
      </c>
      <c r="F68" s="90" t="s">
        <v>16</v>
      </c>
    </row>
    <row r="69" spans="1:6" ht="21" x14ac:dyDescent="0.2">
      <c r="A69" s="5"/>
      <c r="B69" s="83" t="s">
        <v>311</v>
      </c>
      <c r="C69" s="45">
        <f>D69</f>
        <v>709600</v>
      </c>
      <c r="D69" s="85">
        <v>709600</v>
      </c>
      <c r="E69" s="94"/>
      <c r="F69" s="90"/>
    </row>
    <row r="70" spans="1:6" ht="21" x14ac:dyDescent="0.2">
      <c r="A70" s="5"/>
      <c r="B70" s="83" t="s">
        <v>310</v>
      </c>
      <c r="C70" s="45">
        <f>E70</f>
        <v>1086000</v>
      </c>
      <c r="D70" s="85"/>
      <c r="E70" s="94">
        <f>E71+E72+E73</f>
        <v>1086000</v>
      </c>
      <c r="F70" s="90"/>
    </row>
    <row r="71" spans="1:6" ht="37.5" x14ac:dyDescent="0.2">
      <c r="A71" s="5"/>
      <c r="B71" s="83" t="s">
        <v>307</v>
      </c>
      <c r="C71" s="45">
        <f>E71</f>
        <v>500000</v>
      </c>
      <c r="D71" s="85"/>
      <c r="E71" s="94">
        <v>500000</v>
      </c>
      <c r="F71" s="90"/>
    </row>
    <row r="72" spans="1:6" ht="21" x14ac:dyDescent="0.2">
      <c r="A72" s="5"/>
      <c r="B72" s="83" t="s">
        <v>308</v>
      </c>
      <c r="C72" s="45">
        <f>E72</f>
        <v>86000</v>
      </c>
      <c r="D72" s="85"/>
      <c r="E72" s="94">
        <v>86000</v>
      </c>
      <c r="F72" s="90"/>
    </row>
    <row r="73" spans="1:6" ht="37.5" x14ac:dyDescent="0.2">
      <c r="A73" s="5"/>
      <c r="B73" s="83" t="s">
        <v>309</v>
      </c>
      <c r="C73" s="45">
        <f>E73</f>
        <v>500000</v>
      </c>
      <c r="D73" s="85"/>
      <c r="E73" s="94">
        <v>500000</v>
      </c>
      <c r="F73" s="90"/>
    </row>
    <row r="74" spans="1:6" ht="34.5" x14ac:dyDescent="0.2">
      <c r="A74" s="5">
        <v>34</v>
      </c>
      <c r="B74" s="83" t="s">
        <v>18</v>
      </c>
      <c r="C74" s="45">
        <f t="shared" si="7"/>
        <v>4455000</v>
      </c>
      <c r="D74" s="91">
        <v>4455000</v>
      </c>
      <c r="E74" s="94">
        <v>0</v>
      </c>
      <c r="F74" s="90" t="s">
        <v>16</v>
      </c>
    </row>
    <row r="75" spans="1:6" ht="21" x14ac:dyDescent="0.2">
      <c r="A75" s="223" t="s">
        <v>212</v>
      </c>
      <c r="B75" s="223"/>
      <c r="C75" s="73">
        <f>D75</f>
        <v>900000</v>
      </c>
      <c r="D75" s="73">
        <f t="shared" ref="D75:E75" si="10">D76+D77+D78</f>
        <v>900000</v>
      </c>
      <c r="E75" s="73">
        <f t="shared" si="10"/>
        <v>0</v>
      </c>
      <c r="F75" s="100"/>
    </row>
    <row r="76" spans="1:6" ht="21" x14ac:dyDescent="0.2">
      <c r="A76" s="5">
        <v>35</v>
      </c>
      <c r="B76" s="109" t="s">
        <v>19</v>
      </c>
      <c r="C76" s="45">
        <f t="shared" si="7"/>
        <v>300000</v>
      </c>
      <c r="D76" s="110">
        <v>300000</v>
      </c>
      <c r="E76" s="94">
        <v>0</v>
      </c>
      <c r="F76" s="111" t="s">
        <v>20</v>
      </c>
    </row>
    <row r="77" spans="1:6" ht="21" x14ac:dyDescent="0.2">
      <c r="A77" s="5">
        <v>36</v>
      </c>
      <c r="B77" s="109" t="s">
        <v>21</v>
      </c>
      <c r="C77" s="45">
        <f t="shared" si="7"/>
        <v>300000</v>
      </c>
      <c r="D77" s="110">
        <v>300000</v>
      </c>
      <c r="E77" s="94">
        <v>0</v>
      </c>
      <c r="F77" s="111" t="s">
        <v>20</v>
      </c>
    </row>
    <row r="78" spans="1:6" ht="21" x14ac:dyDescent="0.2">
      <c r="A78" s="5">
        <v>37</v>
      </c>
      <c r="B78" s="109" t="s">
        <v>22</v>
      </c>
      <c r="C78" s="45">
        <f t="shared" si="7"/>
        <v>300000</v>
      </c>
      <c r="D78" s="110">
        <v>300000</v>
      </c>
      <c r="E78" s="94">
        <v>0</v>
      </c>
      <c r="F78" s="111" t="s">
        <v>20</v>
      </c>
    </row>
    <row r="79" spans="1:6" ht="21" x14ac:dyDescent="0.2">
      <c r="A79" s="221" t="s">
        <v>213</v>
      </c>
      <c r="B79" s="222"/>
      <c r="C79" s="73">
        <f>D79</f>
        <v>6325500</v>
      </c>
      <c r="D79" s="73">
        <f>D80+D82</f>
        <v>6325500</v>
      </c>
      <c r="E79" s="112">
        <v>0</v>
      </c>
      <c r="F79" s="100"/>
    </row>
    <row r="80" spans="1:6" ht="21" x14ac:dyDescent="0.2">
      <c r="A80" s="224" t="s">
        <v>214</v>
      </c>
      <c r="B80" s="222"/>
      <c r="C80" s="73">
        <f>C81</f>
        <v>1000000</v>
      </c>
      <c r="D80" s="73">
        <f>D81</f>
        <v>1000000</v>
      </c>
      <c r="E80" s="74">
        <v>0</v>
      </c>
      <c r="F80" s="114"/>
    </row>
    <row r="81" spans="1:6" ht="37.5" x14ac:dyDescent="0.2">
      <c r="A81" s="5">
        <v>38</v>
      </c>
      <c r="B81" s="93" t="s">
        <v>23</v>
      </c>
      <c r="C81" s="45">
        <f t="shared" si="7"/>
        <v>1000000</v>
      </c>
      <c r="D81" s="85">
        <v>1000000</v>
      </c>
      <c r="E81" s="84">
        <v>0</v>
      </c>
      <c r="F81" s="90" t="s">
        <v>24</v>
      </c>
    </row>
    <row r="82" spans="1:6" ht="21" x14ac:dyDescent="0.2">
      <c r="A82" s="223" t="s">
        <v>215</v>
      </c>
      <c r="B82" s="223"/>
      <c r="C82" s="73">
        <f>D82</f>
        <v>5325500</v>
      </c>
      <c r="D82" s="73">
        <f>D83+D84+D85+D86+D87+D88+D89+D90+D91+D92+D93+D94+D95</f>
        <v>5325500</v>
      </c>
      <c r="E82" s="80">
        <v>0</v>
      </c>
      <c r="F82" s="114"/>
    </row>
    <row r="83" spans="1:6" ht="21" x14ac:dyDescent="0.2">
      <c r="A83" s="5">
        <v>39</v>
      </c>
      <c r="B83" s="93" t="s">
        <v>131</v>
      </c>
      <c r="C83" s="45">
        <f>D83</f>
        <v>500000</v>
      </c>
      <c r="D83" s="85">
        <v>500000</v>
      </c>
      <c r="E83" s="94">
        <v>0</v>
      </c>
      <c r="F83" s="90" t="s">
        <v>25</v>
      </c>
    </row>
    <row r="84" spans="1:6" ht="21" x14ac:dyDescent="0.2">
      <c r="A84" s="5">
        <v>40</v>
      </c>
      <c r="B84" s="93" t="s">
        <v>126</v>
      </c>
      <c r="C84" s="45">
        <f t="shared" ref="C84:C95" si="11">D84</f>
        <v>490000</v>
      </c>
      <c r="D84" s="85">
        <v>490000</v>
      </c>
      <c r="E84" s="94">
        <v>0</v>
      </c>
      <c r="F84" s="90" t="s">
        <v>25</v>
      </c>
    </row>
    <row r="85" spans="1:6" ht="21" x14ac:dyDescent="0.2">
      <c r="A85" s="5">
        <v>41</v>
      </c>
      <c r="B85" s="93" t="s">
        <v>127</v>
      </c>
      <c r="C85" s="45">
        <f t="shared" si="11"/>
        <v>60000</v>
      </c>
      <c r="D85" s="85">
        <v>60000</v>
      </c>
      <c r="E85" s="84">
        <v>0</v>
      </c>
      <c r="F85" s="90" t="s">
        <v>25</v>
      </c>
    </row>
    <row r="86" spans="1:6" ht="21" x14ac:dyDescent="0.2">
      <c r="A86" s="5">
        <v>42</v>
      </c>
      <c r="B86" s="93" t="s">
        <v>338</v>
      </c>
      <c r="C86" s="45">
        <f t="shared" si="11"/>
        <v>60000</v>
      </c>
      <c r="D86" s="85">
        <v>60000</v>
      </c>
      <c r="E86" s="94">
        <v>0</v>
      </c>
      <c r="F86" s="90" t="s">
        <v>25</v>
      </c>
    </row>
    <row r="87" spans="1:6" ht="21" x14ac:dyDescent="0.2">
      <c r="A87" s="5">
        <v>43</v>
      </c>
      <c r="B87" s="93" t="s">
        <v>128</v>
      </c>
      <c r="C87" s="45">
        <f t="shared" si="11"/>
        <v>60000</v>
      </c>
      <c r="D87" s="85">
        <v>60000</v>
      </c>
      <c r="E87" s="94">
        <v>0</v>
      </c>
      <c r="F87" s="90" t="s">
        <v>25</v>
      </c>
    </row>
    <row r="88" spans="1:6" ht="21" x14ac:dyDescent="0.2">
      <c r="A88" s="5">
        <v>44</v>
      </c>
      <c r="B88" s="93" t="s">
        <v>129</v>
      </c>
      <c r="C88" s="45">
        <f t="shared" si="11"/>
        <v>60000</v>
      </c>
      <c r="D88" s="85">
        <v>60000</v>
      </c>
      <c r="E88" s="94">
        <v>0</v>
      </c>
      <c r="F88" s="90" t="s">
        <v>25</v>
      </c>
    </row>
    <row r="89" spans="1:6" ht="21" x14ac:dyDescent="0.2">
      <c r="A89" s="5">
        <v>45</v>
      </c>
      <c r="B89" s="93" t="s">
        <v>130</v>
      </c>
      <c r="C89" s="45">
        <f t="shared" si="11"/>
        <v>60000</v>
      </c>
      <c r="D89" s="85">
        <v>60000</v>
      </c>
      <c r="E89" s="84">
        <v>0</v>
      </c>
      <c r="F89" s="90" t="s">
        <v>25</v>
      </c>
    </row>
    <row r="90" spans="1:6" ht="37.5" x14ac:dyDescent="0.2">
      <c r="A90" s="5">
        <v>46</v>
      </c>
      <c r="B90" s="93" t="s">
        <v>26</v>
      </c>
      <c r="C90" s="45">
        <f t="shared" si="11"/>
        <v>252000</v>
      </c>
      <c r="D90" s="85">
        <v>252000</v>
      </c>
      <c r="E90" s="94">
        <v>0</v>
      </c>
      <c r="F90" s="90" t="s">
        <v>25</v>
      </c>
    </row>
    <row r="91" spans="1:6" ht="21" x14ac:dyDescent="0.2">
      <c r="A91" s="5">
        <v>47</v>
      </c>
      <c r="B91" s="93" t="s">
        <v>381</v>
      </c>
      <c r="C91" s="45">
        <f t="shared" si="11"/>
        <v>252000</v>
      </c>
      <c r="D91" s="85">
        <v>252000</v>
      </c>
      <c r="E91" s="94">
        <v>0</v>
      </c>
      <c r="F91" s="90" t="s">
        <v>25</v>
      </c>
    </row>
    <row r="92" spans="1:6" ht="21" x14ac:dyDescent="0.2">
      <c r="A92" s="5">
        <v>48</v>
      </c>
      <c r="B92" s="83" t="s">
        <v>27</v>
      </c>
      <c r="C92" s="45">
        <f t="shared" si="11"/>
        <v>300000</v>
      </c>
      <c r="D92" s="85">
        <v>300000</v>
      </c>
      <c r="E92" s="94">
        <v>0</v>
      </c>
      <c r="F92" s="90" t="s">
        <v>25</v>
      </c>
    </row>
    <row r="93" spans="1:6" ht="37.5" x14ac:dyDescent="0.2">
      <c r="A93" s="5">
        <v>49</v>
      </c>
      <c r="B93" s="83" t="s">
        <v>278</v>
      </c>
      <c r="C93" s="45">
        <f t="shared" si="11"/>
        <v>231500</v>
      </c>
      <c r="D93" s="85">
        <v>231500</v>
      </c>
      <c r="E93" s="94">
        <v>0</v>
      </c>
      <c r="F93" s="90" t="s">
        <v>279</v>
      </c>
    </row>
    <row r="94" spans="1:6" ht="21" x14ac:dyDescent="0.2">
      <c r="A94" s="5">
        <v>50</v>
      </c>
      <c r="B94" s="83" t="s">
        <v>380</v>
      </c>
      <c r="C94" s="45">
        <f t="shared" si="11"/>
        <v>1500000</v>
      </c>
      <c r="D94" s="85">
        <v>1500000</v>
      </c>
      <c r="E94" s="94">
        <v>0</v>
      </c>
      <c r="F94" s="90" t="s">
        <v>25</v>
      </c>
    </row>
    <row r="95" spans="1:6" ht="21" x14ac:dyDescent="0.2">
      <c r="A95" s="5">
        <v>51</v>
      </c>
      <c r="B95" s="83" t="s">
        <v>28</v>
      </c>
      <c r="C95" s="45">
        <f t="shared" si="11"/>
        <v>1500000</v>
      </c>
      <c r="D95" s="85">
        <v>1500000</v>
      </c>
      <c r="E95" s="94">
        <v>0</v>
      </c>
      <c r="F95" s="116" t="s">
        <v>29</v>
      </c>
    </row>
    <row r="96" spans="1:6" ht="21" x14ac:dyDescent="0.2">
      <c r="A96" s="221" t="s">
        <v>216</v>
      </c>
      <c r="B96" s="222"/>
      <c r="C96" s="73">
        <f>E96</f>
        <v>40164900</v>
      </c>
      <c r="D96" s="73">
        <f t="shared" ref="D96:E96" si="12">D97+D103</f>
        <v>0</v>
      </c>
      <c r="E96" s="73">
        <f t="shared" si="12"/>
        <v>40164900</v>
      </c>
      <c r="F96" s="90"/>
    </row>
    <row r="97" spans="1:6" ht="21" x14ac:dyDescent="0.2">
      <c r="A97" s="224" t="s">
        <v>217</v>
      </c>
      <c r="B97" s="222"/>
      <c r="C97" s="73">
        <f>E97</f>
        <v>29985900</v>
      </c>
      <c r="D97" s="73">
        <f t="shared" ref="D97:E97" si="13">D98+D99+D100+D101+D102</f>
        <v>0</v>
      </c>
      <c r="E97" s="73">
        <f t="shared" si="13"/>
        <v>29985900</v>
      </c>
      <c r="F97" s="100"/>
    </row>
    <row r="98" spans="1:6" ht="37.5" x14ac:dyDescent="0.2">
      <c r="A98" s="5">
        <v>52</v>
      </c>
      <c r="B98" s="83" t="s">
        <v>30</v>
      </c>
      <c r="C98" s="45">
        <f>E98</f>
        <v>5990880</v>
      </c>
      <c r="D98" s="91">
        <v>0</v>
      </c>
      <c r="E98" s="91">
        <f>6000000-9120</f>
        <v>5990880</v>
      </c>
      <c r="F98" s="117" t="s">
        <v>31</v>
      </c>
    </row>
    <row r="99" spans="1:6" ht="37.5" x14ac:dyDescent="0.2">
      <c r="A99" s="5">
        <v>53</v>
      </c>
      <c r="B99" s="83" t="s">
        <v>32</v>
      </c>
      <c r="C99" s="45">
        <f t="shared" ref="C99:C102" si="14">E99</f>
        <v>9996620</v>
      </c>
      <c r="D99" s="84">
        <v>0</v>
      </c>
      <c r="E99" s="91">
        <f>10000000-3380</f>
        <v>9996620</v>
      </c>
      <c r="F99" s="117" t="s">
        <v>31</v>
      </c>
    </row>
    <row r="100" spans="1:6" ht="37.5" x14ac:dyDescent="0.2">
      <c r="A100" s="5">
        <v>54</v>
      </c>
      <c r="B100" s="83" t="s">
        <v>33</v>
      </c>
      <c r="C100" s="45">
        <f t="shared" si="14"/>
        <v>7660800</v>
      </c>
      <c r="D100" s="84">
        <v>0</v>
      </c>
      <c r="E100" s="91">
        <f>7770000-109200</f>
        <v>7660800</v>
      </c>
      <c r="F100" s="117" t="s">
        <v>31</v>
      </c>
    </row>
    <row r="101" spans="1:6" ht="37.5" x14ac:dyDescent="0.2">
      <c r="A101" s="5">
        <v>55</v>
      </c>
      <c r="B101" s="83" t="s">
        <v>34</v>
      </c>
      <c r="C101" s="45">
        <f t="shared" si="14"/>
        <v>2389600</v>
      </c>
      <c r="D101" s="84">
        <v>0</v>
      </c>
      <c r="E101" s="91">
        <f>2400000-10400</f>
        <v>2389600</v>
      </c>
      <c r="F101" s="117" t="s">
        <v>31</v>
      </c>
    </row>
    <row r="102" spans="1:6" ht="37.5" x14ac:dyDescent="0.2">
      <c r="A102" s="5">
        <v>56</v>
      </c>
      <c r="B102" s="93" t="s">
        <v>35</v>
      </c>
      <c r="C102" s="45">
        <f t="shared" si="14"/>
        <v>3948000</v>
      </c>
      <c r="D102" s="91">
        <v>0</v>
      </c>
      <c r="E102" s="91">
        <f>3965000-17000</f>
        <v>3948000</v>
      </c>
      <c r="F102" s="117" t="s">
        <v>31</v>
      </c>
    </row>
    <row r="103" spans="1:6" ht="21" x14ac:dyDescent="0.2">
      <c r="A103" s="223" t="s">
        <v>218</v>
      </c>
      <c r="B103" s="223"/>
      <c r="C103" s="73">
        <f>E103</f>
        <v>10179000</v>
      </c>
      <c r="D103" s="73">
        <f t="shared" ref="D103:E103" si="15">D104+D105</f>
        <v>0</v>
      </c>
      <c r="E103" s="73">
        <f t="shared" si="15"/>
        <v>10179000</v>
      </c>
      <c r="F103" s="25"/>
    </row>
    <row r="104" spans="1:6" ht="56.25" x14ac:dyDescent="0.2">
      <c r="A104" s="5">
        <v>57</v>
      </c>
      <c r="B104" s="93" t="s">
        <v>254</v>
      </c>
      <c r="C104" s="45">
        <f>E104</f>
        <v>8790000</v>
      </c>
      <c r="D104" s="91"/>
      <c r="E104" s="91">
        <f>10000000-1210000</f>
        <v>8790000</v>
      </c>
      <c r="F104" s="119" t="s">
        <v>36</v>
      </c>
    </row>
    <row r="105" spans="1:6" ht="37.5" x14ac:dyDescent="0.2">
      <c r="A105" s="5">
        <v>58</v>
      </c>
      <c r="B105" s="83" t="s">
        <v>255</v>
      </c>
      <c r="C105" s="45">
        <f>E105</f>
        <v>1389000</v>
      </c>
      <c r="D105" s="91"/>
      <c r="E105" s="91">
        <f>2100000-711000</f>
        <v>1389000</v>
      </c>
      <c r="F105" s="119" t="s">
        <v>36</v>
      </c>
    </row>
    <row r="106" spans="1:6" ht="21" x14ac:dyDescent="0.2">
      <c r="A106" s="221" t="s">
        <v>219</v>
      </c>
      <c r="B106" s="222"/>
      <c r="C106" s="73">
        <f>C107</f>
        <v>370500</v>
      </c>
      <c r="D106" s="73">
        <f t="shared" ref="D106:E107" si="16">D107</f>
        <v>370500</v>
      </c>
      <c r="E106" s="73">
        <f t="shared" si="16"/>
        <v>0</v>
      </c>
      <c r="F106" s="25"/>
    </row>
    <row r="107" spans="1:6" ht="21" x14ac:dyDescent="0.2">
      <c r="A107" s="224" t="s">
        <v>220</v>
      </c>
      <c r="B107" s="222"/>
      <c r="C107" s="73">
        <f>C108</f>
        <v>370500</v>
      </c>
      <c r="D107" s="73">
        <f t="shared" si="16"/>
        <v>370500</v>
      </c>
      <c r="E107" s="73">
        <f t="shared" si="16"/>
        <v>0</v>
      </c>
      <c r="F107" s="25"/>
    </row>
    <row r="108" spans="1:6" ht="37.5" x14ac:dyDescent="0.2">
      <c r="A108" s="5">
        <v>59</v>
      </c>
      <c r="B108" s="93" t="s">
        <v>256</v>
      </c>
      <c r="C108" s="45">
        <f t="shared" ref="C108:C151" si="17">D108+E108</f>
        <v>370500</v>
      </c>
      <c r="D108" s="97">
        <v>370500</v>
      </c>
      <c r="E108" s="94">
        <v>0</v>
      </c>
      <c r="F108" s="90" t="s">
        <v>37</v>
      </c>
    </row>
    <row r="109" spans="1:6" ht="21" x14ac:dyDescent="0.2">
      <c r="A109" s="221" t="s">
        <v>221</v>
      </c>
      <c r="B109" s="222"/>
      <c r="C109" s="73">
        <f>C110+C113</f>
        <v>3978300</v>
      </c>
      <c r="D109" s="73">
        <f t="shared" ref="D109:E109" si="18">D110+D113</f>
        <v>1348300</v>
      </c>
      <c r="E109" s="73">
        <f t="shared" si="18"/>
        <v>2630000</v>
      </c>
      <c r="F109" s="100"/>
    </row>
    <row r="110" spans="1:6" ht="21" x14ac:dyDescent="0.2">
      <c r="A110" s="224" t="s">
        <v>222</v>
      </c>
      <c r="B110" s="222"/>
      <c r="C110" s="73">
        <f>C111+C112</f>
        <v>3398300</v>
      </c>
      <c r="D110" s="73">
        <f t="shared" ref="D110:E110" si="19">D111+D112</f>
        <v>1348300</v>
      </c>
      <c r="E110" s="73">
        <f t="shared" si="19"/>
        <v>2050000</v>
      </c>
      <c r="F110" s="100"/>
    </row>
    <row r="111" spans="1:6" ht="37.5" x14ac:dyDescent="0.2">
      <c r="A111" s="120">
        <v>60</v>
      </c>
      <c r="B111" s="121" t="s">
        <v>257</v>
      </c>
      <c r="C111" s="45">
        <f t="shared" si="17"/>
        <v>2050000</v>
      </c>
      <c r="D111" s="91"/>
      <c r="E111" s="91">
        <f>2500000-450000</f>
        <v>2050000</v>
      </c>
      <c r="F111" s="90" t="s">
        <v>38</v>
      </c>
    </row>
    <row r="112" spans="1:6" ht="47.25" x14ac:dyDescent="0.2">
      <c r="A112" s="4">
        <v>61</v>
      </c>
      <c r="B112" s="121" t="s">
        <v>39</v>
      </c>
      <c r="C112" s="45">
        <f t="shared" si="17"/>
        <v>1348300</v>
      </c>
      <c r="D112" s="85">
        <v>1348300</v>
      </c>
      <c r="E112" s="94">
        <v>0</v>
      </c>
      <c r="F112" s="122" t="s">
        <v>40</v>
      </c>
    </row>
    <row r="113" spans="1:6" ht="21" x14ac:dyDescent="0.2">
      <c r="A113" s="223" t="s">
        <v>223</v>
      </c>
      <c r="B113" s="223"/>
      <c r="C113" s="73">
        <f>C114</f>
        <v>580000</v>
      </c>
      <c r="D113" s="73">
        <f t="shared" ref="D113:E113" si="20">D114</f>
        <v>0</v>
      </c>
      <c r="E113" s="73">
        <f t="shared" si="20"/>
        <v>580000</v>
      </c>
      <c r="F113" s="100"/>
    </row>
    <row r="114" spans="1:6" ht="37.5" x14ac:dyDescent="0.2">
      <c r="A114" s="5">
        <v>62</v>
      </c>
      <c r="B114" s="121" t="s">
        <v>132</v>
      </c>
      <c r="C114" s="45">
        <f t="shared" si="17"/>
        <v>580000</v>
      </c>
      <c r="D114" s="123">
        <v>0</v>
      </c>
      <c r="E114" s="94">
        <f>900000-320000</f>
        <v>580000</v>
      </c>
      <c r="F114" s="90" t="s">
        <v>3</v>
      </c>
    </row>
    <row r="115" spans="1:6" ht="21" x14ac:dyDescent="0.2">
      <c r="A115" s="221" t="s">
        <v>41</v>
      </c>
      <c r="B115" s="222"/>
      <c r="C115" s="73">
        <f>C116</f>
        <v>7847300</v>
      </c>
      <c r="D115" s="73">
        <f t="shared" ref="D115:E115" si="21">D116</f>
        <v>7847300</v>
      </c>
      <c r="E115" s="73">
        <f t="shared" si="21"/>
        <v>0</v>
      </c>
      <c r="F115" s="100"/>
    </row>
    <row r="116" spans="1:6" ht="21" x14ac:dyDescent="0.2">
      <c r="A116" s="221" t="s">
        <v>224</v>
      </c>
      <c r="B116" s="222"/>
      <c r="C116" s="73">
        <f>C117+C127</f>
        <v>7847300</v>
      </c>
      <c r="D116" s="73">
        <f t="shared" ref="D116:E116" si="22">D117+D127</f>
        <v>7847300</v>
      </c>
      <c r="E116" s="73">
        <f t="shared" si="22"/>
        <v>0</v>
      </c>
      <c r="F116" s="124"/>
    </row>
    <row r="117" spans="1:6" ht="21" x14ac:dyDescent="0.2">
      <c r="A117" s="224" t="s">
        <v>225</v>
      </c>
      <c r="B117" s="222"/>
      <c r="C117" s="73">
        <f>C118+C119+C120+C121+C122</f>
        <v>3842300</v>
      </c>
      <c r="D117" s="73">
        <f t="shared" ref="D117:E117" si="23">D118+D119+D120+D121+D122</f>
        <v>3842300</v>
      </c>
      <c r="E117" s="73">
        <f t="shared" si="23"/>
        <v>0</v>
      </c>
      <c r="F117" s="100"/>
    </row>
    <row r="118" spans="1:6" ht="31.5" x14ac:dyDescent="0.2">
      <c r="A118" s="125">
        <v>63</v>
      </c>
      <c r="B118" s="126" t="s">
        <v>42</v>
      </c>
      <c r="C118" s="45">
        <f t="shared" si="17"/>
        <v>940200</v>
      </c>
      <c r="D118" s="127">
        <v>940200</v>
      </c>
      <c r="E118" s="128">
        <v>0</v>
      </c>
      <c r="F118" s="129" t="s">
        <v>12</v>
      </c>
    </row>
    <row r="119" spans="1:6" ht="37.5" x14ac:dyDescent="0.2">
      <c r="A119" s="125">
        <v>64</v>
      </c>
      <c r="B119" s="109" t="s">
        <v>43</v>
      </c>
      <c r="C119" s="45">
        <f t="shared" si="17"/>
        <v>1339900</v>
      </c>
      <c r="D119" s="110">
        <v>1339900</v>
      </c>
      <c r="E119" s="94"/>
      <c r="F119" s="129" t="s">
        <v>44</v>
      </c>
    </row>
    <row r="120" spans="1:6" ht="21" x14ac:dyDescent="0.2">
      <c r="A120" s="125">
        <v>65</v>
      </c>
      <c r="B120" s="130" t="s">
        <v>45</v>
      </c>
      <c r="C120" s="45">
        <f t="shared" si="17"/>
        <v>405700</v>
      </c>
      <c r="D120" s="110">
        <v>405700</v>
      </c>
      <c r="E120" s="94"/>
      <c r="F120" s="129" t="s">
        <v>44</v>
      </c>
    </row>
    <row r="121" spans="1:6" ht="21" x14ac:dyDescent="0.2">
      <c r="A121" s="125">
        <v>66</v>
      </c>
      <c r="B121" s="130" t="s">
        <v>46</v>
      </c>
      <c r="C121" s="45">
        <f t="shared" si="17"/>
        <v>878500</v>
      </c>
      <c r="D121" s="84">
        <v>878500</v>
      </c>
      <c r="E121" s="94"/>
      <c r="F121" s="131" t="s">
        <v>47</v>
      </c>
    </row>
    <row r="122" spans="1:6" ht="21" x14ac:dyDescent="0.2">
      <c r="A122" s="82">
        <v>67</v>
      </c>
      <c r="B122" s="109" t="s">
        <v>48</v>
      </c>
      <c r="C122" s="45">
        <f t="shared" si="17"/>
        <v>278000</v>
      </c>
      <c r="D122" s="110">
        <v>278000</v>
      </c>
      <c r="E122" s="94"/>
      <c r="F122" s="131" t="s">
        <v>47</v>
      </c>
    </row>
    <row r="123" spans="1:6" ht="37.5" x14ac:dyDescent="0.2">
      <c r="A123" s="82"/>
      <c r="B123" s="109" t="s">
        <v>331</v>
      </c>
      <c r="C123" s="45"/>
      <c r="D123" s="110"/>
      <c r="E123" s="94"/>
      <c r="F123" s="131"/>
    </row>
    <row r="124" spans="1:6" ht="37.5" x14ac:dyDescent="0.2">
      <c r="A124" s="82"/>
      <c r="B124" s="109" t="s">
        <v>332</v>
      </c>
      <c r="C124" s="45"/>
      <c r="D124" s="110"/>
      <c r="E124" s="94"/>
      <c r="F124" s="131"/>
    </row>
    <row r="125" spans="1:6" ht="56.25" x14ac:dyDescent="0.2">
      <c r="A125" s="82"/>
      <c r="B125" s="109" t="s">
        <v>333</v>
      </c>
      <c r="C125" s="45"/>
      <c r="D125" s="110"/>
      <c r="E125" s="94"/>
      <c r="F125" s="131"/>
    </row>
    <row r="126" spans="1:6" ht="21" x14ac:dyDescent="0.2">
      <c r="A126" s="82"/>
      <c r="B126" s="109" t="s">
        <v>334</v>
      </c>
      <c r="C126" s="45"/>
      <c r="D126" s="110"/>
      <c r="E126" s="94"/>
      <c r="F126" s="131"/>
    </row>
    <row r="127" spans="1:6" ht="21" x14ac:dyDescent="0.2">
      <c r="A127" s="223" t="s">
        <v>226</v>
      </c>
      <c r="B127" s="223"/>
      <c r="C127" s="73">
        <f>C128+C129</f>
        <v>4005000</v>
      </c>
      <c r="D127" s="73">
        <f t="shared" ref="D127:E127" si="24">D128+D129</f>
        <v>4005000</v>
      </c>
      <c r="E127" s="73">
        <f t="shared" si="24"/>
        <v>0</v>
      </c>
      <c r="F127" s="100"/>
    </row>
    <row r="128" spans="1:6" ht="21" x14ac:dyDescent="0.2">
      <c r="A128" s="82">
        <v>68</v>
      </c>
      <c r="B128" s="109" t="s">
        <v>49</v>
      </c>
      <c r="C128" s="45">
        <f t="shared" si="17"/>
        <v>2247900</v>
      </c>
      <c r="D128" s="84">
        <v>2247900</v>
      </c>
      <c r="E128" s="94">
        <v>0</v>
      </c>
      <c r="F128" s="111" t="s">
        <v>50</v>
      </c>
    </row>
    <row r="129" spans="1:6" ht="21" x14ac:dyDescent="0.2">
      <c r="A129" s="125">
        <v>69</v>
      </c>
      <c r="B129" s="109" t="s">
        <v>51</v>
      </c>
      <c r="C129" s="45">
        <f t="shared" si="17"/>
        <v>1757100</v>
      </c>
      <c r="D129" s="110">
        <v>1757100</v>
      </c>
      <c r="E129" s="94">
        <v>0</v>
      </c>
      <c r="F129" s="111" t="s">
        <v>52</v>
      </c>
    </row>
    <row r="130" spans="1:6" ht="21" x14ac:dyDescent="0.2">
      <c r="A130" s="240" t="s">
        <v>53</v>
      </c>
      <c r="B130" s="241"/>
      <c r="C130" s="73">
        <f>C131</f>
        <v>5765200</v>
      </c>
      <c r="D130" s="73">
        <f t="shared" ref="D130:E130" si="25">D131</f>
        <v>5390200</v>
      </c>
      <c r="E130" s="73">
        <f t="shared" si="25"/>
        <v>375000</v>
      </c>
      <c r="F130" s="100"/>
    </row>
    <row r="131" spans="1:6" ht="21" x14ac:dyDescent="0.2">
      <c r="A131" s="221" t="s">
        <v>228</v>
      </c>
      <c r="B131" s="222"/>
      <c r="C131" s="73">
        <f>C132+C136+C138</f>
        <v>5765200</v>
      </c>
      <c r="D131" s="73">
        <f t="shared" ref="D131:E131" si="26">D132+D136+D138</f>
        <v>5390200</v>
      </c>
      <c r="E131" s="73">
        <f t="shared" si="26"/>
        <v>375000</v>
      </c>
      <c r="F131" s="124"/>
    </row>
    <row r="132" spans="1:6" ht="21" x14ac:dyDescent="0.2">
      <c r="A132" s="238" t="s">
        <v>227</v>
      </c>
      <c r="B132" s="239"/>
      <c r="C132" s="73">
        <f>C133</f>
        <v>2375000</v>
      </c>
      <c r="D132" s="73">
        <f t="shared" ref="D132:E132" si="27">D133</f>
        <v>2000000</v>
      </c>
      <c r="E132" s="73">
        <f t="shared" si="27"/>
        <v>375000</v>
      </c>
      <c r="F132" s="100"/>
    </row>
    <row r="133" spans="1:6" ht="34.5" x14ac:dyDescent="0.2">
      <c r="A133" s="5">
        <v>70</v>
      </c>
      <c r="B133" s="132" t="s">
        <v>54</v>
      </c>
      <c r="C133" s="45">
        <f t="shared" si="17"/>
        <v>2375000</v>
      </c>
      <c r="D133" s="110">
        <f>D134</f>
        <v>2000000</v>
      </c>
      <c r="E133" s="94">
        <f>E135</f>
        <v>375000</v>
      </c>
      <c r="F133" s="111" t="s">
        <v>16</v>
      </c>
    </row>
    <row r="134" spans="1:6" ht="21" x14ac:dyDescent="0.2">
      <c r="A134" s="5"/>
      <c r="B134" s="132" t="s">
        <v>83</v>
      </c>
      <c r="C134" s="45"/>
      <c r="D134" s="127">
        <v>2000000</v>
      </c>
      <c r="E134" s="128"/>
      <c r="F134" s="111"/>
    </row>
    <row r="135" spans="1:6" ht="37.5" x14ac:dyDescent="0.2">
      <c r="A135" s="5"/>
      <c r="B135" s="132" t="s">
        <v>344</v>
      </c>
      <c r="C135" s="45">
        <f>D135+E135</f>
        <v>375000</v>
      </c>
      <c r="D135" s="127"/>
      <c r="E135" s="128">
        <v>375000</v>
      </c>
      <c r="F135" s="111"/>
    </row>
    <row r="136" spans="1:6" ht="21" x14ac:dyDescent="0.2">
      <c r="A136" s="223" t="s">
        <v>229</v>
      </c>
      <c r="B136" s="223"/>
      <c r="C136" s="73">
        <f>C137</f>
        <v>3000000</v>
      </c>
      <c r="D136" s="73">
        <f t="shared" ref="D136:E136" si="28">D137</f>
        <v>3000000</v>
      </c>
      <c r="E136" s="73">
        <f t="shared" si="28"/>
        <v>0</v>
      </c>
      <c r="F136" s="100"/>
    </row>
    <row r="137" spans="1:6" ht="34.5" x14ac:dyDescent="0.2">
      <c r="A137" s="5">
        <v>71</v>
      </c>
      <c r="B137" s="109" t="s">
        <v>55</v>
      </c>
      <c r="C137" s="45">
        <f t="shared" si="17"/>
        <v>3000000</v>
      </c>
      <c r="D137" s="133">
        <v>3000000</v>
      </c>
      <c r="E137" s="133"/>
      <c r="F137" s="111" t="s">
        <v>16</v>
      </c>
    </row>
    <row r="138" spans="1:6" ht="21" x14ac:dyDescent="0.2">
      <c r="A138" s="223" t="s">
        <v>230</v>
      </c>
      <c r="B138" s="223"/>
      <c r="C138" s="73">
        <f>C139</f>
        <v>390200</v>
      </c>
      <c r="D138" s="73">
        <f t="shared" ref="D138:E138" si="29">D139</f>
        <v>390200</v>
      </c>
      <c r="E138" s="73">
        <f t="shared" si="29"/>
        <v>0</v>
      </c>
      <c r="F138" s="100"/>
    </row>
    <row r="139" spans="1:6" ht="21" x14ac:dyDescent="0.2">
      <c r="A139" s="5">
        <v>72</v>
      </c>
      <c r="B139" s="132" t="s">
        <v>56</v>
      </c>
      <c r="C139" s="45">
        <f t="shared" si="17"/>
        <v>390200</v>
      </c>
      <c r="D139" s="110">
        <v>390200</v>
      </c>
      <c r="E139" s="94"/>
      <c r="F139" s="111" t="s">
        <v>52</v>
      </c>
    </row>
    <row r="140" spans="1:6" ht="21" x14ac:dyDescent="0.2">
      <c r="A140" s="221" t="s">
        <v>57</v>
      </c>
      <c r="B140" s="222"/>
      <c r="C140" s="73">
        <f>C141</f>
        <v>5475300</v>
      </c>
      <c r="D140" s="73">
        <f t="shared" ref="D140:E141" si="30">D141</f>
        <v>5475300</v>
      </c>
      <c r="E140" s="73">
        <f t="shared" si="30"/>
        <v>0</v>
      </c>
      <c r="F140" s="25"/>
    </row>
    <row r="141" spans="1:6" ht="21" x14ac:dyDescent="0.2">
      <c r="A141" s="221" t="s">
        <v>231</v>
      </c>
      <c r="B141" s="222"/>
      <c r="C141" s="73">
        <f>C142</f>
        <v>5475300</v>
      </c>
      <c r="D141" s="73">
        <f t="shared" si="30"/>
        <v>5475300</v>
      </c>
      <c r="E141" s="73">
        <f t="shared" si="30"/>
        <v>0</v>
      </c>
      <c r="F141" s="25"/>
    </row>
    <row r="142" spans="1:6" ht="21" x14ac:dyDescent="0.2">
      <c r="A142" s="223" t="s">
        <v>232</v>
      </c>
      <c r="B142" s="223"/>
      <c r="C142" s="73">
        <f>D142+E142</f>
        <v>5475300</v>
      </c>
      <c r="D142" s="73">
        <f>D143+D144+D145+D146+D147+D148+D149+D150+D151</f>
        <v>5475300</v>
      </c>
      <c r="E142" s="80">
        <v>0</v>
      </c>
      <c r="F142" s="25"/>
    </row>
    <row r="143" spans="1:6" ht="31.5" x14ac:dyDescent="0.2">
      <c r="A143" s="5">
        <v>73</v>
      </c>
      <c r="B143" s="93" t="s">
        <v>58</v>
      </c>
      <c r="C143" s="45">
        <f t="shared" si="17"/>
        <v>500000</v>
      </c>
      <c r="D143" s="97">
        <v>500000</v>
      </c>
      <c r="E143" s="94"/>
      <c r="F143" s="134" t="s">
        <v>59</v>
      </c>
    </row>
    <row r="144" spans="1:6" ht="47.25" x14ac:dyDescent="0.2">
      <c r="A144" s="5">
        <v>74</v>
      </c>
      <c r="B144" s="93" t="s">
        <v>60</v>
      </c>
      <c r="C144" s="45">
        <f t="shared" si="17"/>
        <v>500000</v>
      </c>
      <c r="D144" s="97">
        <v>500000</v>
      </c>
      <c r="E144" s="94"/>
      <c r="F144" s="119" t="s">
        <v>61</v>
      </c>
    </row>
    <row r="145" spans="1:6" ht="31.5" x14ac:dyDescent="0.2">
      <c r="A145" s="5">
        <v>75</v>
      </c>
      <c r="B145" s="93" t="s">
        <v>62</v>
      </c>
      <c r="C145" s="45">
        <f t="shared" si="17"/>
        <v>600000</v>
      </c>
      <c r="D145" s="97">
        <v>600000</v>
      </c>
      <c r="E145" s="94"/>
      <c r="F145" s="119" t="s">
        <v>59</v>
      </c>
    </row>
    <row r="146" spans="1:6" ht="31.5" x14ac:dyDescent="0.2">
      <c r="A146" s="5">
        <v>76</v>
      </c>
      <c r="B146" s="83" t="s">
        <v>63</v>
      </c>
      <c r="C146" s="45">
        <f t="shared" si="17"/>
        <v>500000</v>
      </c>
      <c r="D146" s="97">
        <v>500000</v>
      </c>
      <c r="E146" s="94"/>
      <c r="F146" s="119" t="s">
        <v>59</v>
      </c>
    </row>
    <row r="147" spans="1:6" ht="31.5" x14ac:dyDescent="0.2">
      <c r="A147" s="5">
        <v>77</v>
      </c>
      <c r="B147" s="93" t="s">
        <v>64</v>
      </c>
      <c r="C147" s="45">
        <f t="shared" si="17"/>
        <v>500000</v>
      </c>
      <c r="D147" s="84">
        <v>500000</v>
      </c>
      <c r="E147" s="94"/>
      <c r="F147" s="119" t="s">
        <v>59</v>
      </c>
    </row>
    <row r="148" spans="1:6" ht="31.5" x14ac:dyDescent="0.2">
      <c r="A148" s="5">
        <v>78</v>
      </c>
      <c r="B148" s="93" t="s">
        <v>65</v>
      </c>
      <c r="C148" s="45">
        <f t="shared" si="17"/>
        <v>527500</v>
      </c>
      <c r="D148" s="97">
        <v>527500</v>
      </c>
      <c r="E148" s="94"/>
      <c r="F148" s="119" t="s">
        <v>59</v>
      </c>
    </row>
    <row r="149" spans="1:6" ht="63" x14ac:dyDescent="0.2">
      <c r="A149" s="5">
        <v>79</v>
      </c>
      <c r="B149" s="93" t="s">
        <v>66</v>
      </c>
      <c r="C149" s="45">
        <f t="shared" si="17"/>
        <v>500000</v>
      </c>
      <c r="D149" s="84">
        <v>500000</v>
      </c>
      <c r="E149" s="94"/>
      <c r="F149" s="119" t="s">
        <v>67</v>
      </c>
    </row>
    <row r="150" spans="1:6" ht="63" x14ac:dyDescent="0.2">
      <c r="A150" s="5">
        <v>80</v>
      </c>
      <c r="B150" s="108" t="s">
        <v>68</v>
      </c>
      <c r="C150" s="45">
        <f t="shared" si="17"/>
        <v>500000</v>
      </c>
      <c r="D150" s="84">
        <v>500000</v>
      </c>
      <c r="E150" s="94"/>
      <c r="F150" s="119" t="s">
        <v>69</v>
      </c>
    </row>
    <row r="151" spans="1:6" ht="63" x14ac:dyDescent="0.2">
      <c r="A151" s="5">
        <v>81</v>
      </c>
      <c r="B151" s="135" t="s">
        <v>70</v>
      </c>
      <c r="C151" s="45">
        <f t="shared" si="17"/>
        <v>1347800</v>
      </c>
      <c r="D151" s="84">
        <v>1347800</v>
      </c>
      <c r="E151" s="94"/>
      <c r="F151" s="119" t="s">
        <v>71</v>
      </c>
    </row>
    <row r="152" spans="1:6" ht="21" x14ac:dyDescent="0.2">
      <c r="A152" s="5"/>
      <c r="B152" s="136" t="s">
        <v>72</v>
      </c>
      <c r="C152" s="73">
        <v>8000000</v>
      </c>
      <c r="D152" s="73">
        <v>8000000</v>
      </c>
      <c r="E152" s="74">
        <v>0</v>
      </c>
      <c r="F152" s="14"/>
    </row>
    <row r="153" spans="1:6" s="173" customFormat="1" ht="21" x14ac:dyDescent="0.2">
      <c r="A153" s="5"/>
      <c r="B153" s="174" t="s">
        <v>405</v>
      </c>
      <c r="C153" s="175">
        <f>D153+E153</f>
        <v>7690000</v>
      </c>
      <c r="D153" s="175">
        <f>D154+D155+D157</f>
        <v>1694500</v>
      </c>
      <c r="E153" s="176">
        <f>E156+E157+E158+E159</f>
        <v>5995500</v>
      </c>
      <c r="F153" s="182"/>
    </row>
    <row r="154" spans="1:6" s="172" customFormat="1" ht="34.5" x14ac:dyDescent="0.2">
      <c r="A154" s="82"/>
      <c r="B154" s="190" t="s">
        <v>70</v>
      </c>
      <c r="C154" s="45">
        <f>D154</f>
        <v>500000</v>
      </c>
      <c r="D154" s="45">
        <v>500000</v>
      </c>
      <c r="E154" s="84"/>
      <c r="F154" s="26" t="s">
        <v>12</v>
      </c>
    </row>
    <row r="155" spans="1:6" s="172" customFormat="1" ht="34.5" x14ac:dyDescent="0.2">
      <c r="A155" s="82"/>
      <c r="B155" s="190" t="s">
        <v>406</v>
      </c>
      <c r="C155" s="45">
        <f>D155</f>
        <v>800000</v>
      </c>
      <c r="D155" s="45">
        <v>800000</v>
      </c>
      <c r="E155" s="84"/>
      <c r="F155" s="26" t="s">
        <v>407</v>
      </c>
    </row>
    <row r="156" spans="1:6" s="172" customFormat="1" ht="42" x14ac:dyDescent="0.35">
      <c r="A156" s="82"/>
      <c r="B156" s="189" t="s">
        <v>412</v>
      </c>
      <c r="C156" s="45">
        <f>D156+E156</f>
        <v>450000</v>
      </c>
      <c r="D156" s="45"/>
      <c r="E156" s="84">
        <v>450000</v>
      </c>
      <c r="F156" s="26"/>
    </row>
    <row r="157" spans="1:6" s="172" customFormat="1" ht="42" x14ac:dyDescent="0.35">
      <c r="A157" s="82"/>
      <c r="B157" s="189" t="s">
        <v>413</v>
      </c>
      <c r="C157" s="45">
        <f t="shared" ref="C157:C159" si="31">D157+E157</f>
        <v>450000</v>
      </c>
      <c r="D157" s="45">
        <v>394500</v>
      </c>
      <c r="E157" s="84">
        <v>55500</v>
      </c>
      <c r="F157" s="26"/>
    </row>
    <row r="158" spans="1:6" s="172" customFormat="1" ht="42" x14ac:dyDescent="0.2">
      <c r="A158" s="82"/>
      <c r="B158" s="188" t="s">
        <v>414</v>
      </c>
      <c r="C158" s="45">
        <f t="shared" si="31"/>
        <v>4000000</v>
      </c>
      <c r="D158" s="45"/>
      <c r="E158" s="84">
        <v>4000000</v>
      </c>
      <c r="F158" s="26"/>
    </row>
    <row r="159" spans="1:6" s="172" customFormat="1" ht="42" x14ac:dyDescent="0.35">
      <c r="A159" s="82"/>
      <c r="B159" s="187" t="s">
        <v>415</v>
      </c>
      <c r="C159" s="45">
        <f t="shared" si="31"/>
        <v>1490000</v>
      </c>
      <c r="D159" s="45"/>
      <c r="E159" s="84">
        <v>1490000</v>
      </c>
      <c r="F159" s="26"/>
    </row>
    <row r="160" spans="1:6" ht="21" x14ac:dyDescent="0.35">
      <c r="A160" s="8"/>
      <c r="B160" s="53" t="s">
        <v>114</v>
      </c>
      <c r="C160" s="140">
        <f>C8+C115+C130+C140+C152</f>
        <v>178308300</v>
      </c>
      <c r="D160" s="140">
        <f>D8+D115+D130+D140+D152</f>
        <v>47362100</v>
      </c>
      <c r="E160" s="140">
        <f>E8+E115+E130+E140+E152+E153</f>
        <v>136941700</v>
      </c>
      <c r="F160" s="53"/>
    </row>
  </sheetData>
  <mergeCells count="40">
    <mergeCell ref="A34:B34"/>
    <mergeCell ref="A1:F1"/>
    <mergeCell ref="A2:F2"/>
    <mergeCell ref="A3:F3"/>
    <mergeCell ref="A5:A6"/>
    <mergeCell ref="B5:B6"/>
    <mergeCell ref="C5:E5"/>
    <mergeCell ref="F5:F6"/>
    <mergeCell ref="A7:B7"/>
    <mergeCell ref="A8:B8"/>
    <mergeCell ref="A9:B9"/>
    <mergeCell ref="A10:B10"/>
    <mergeCell ref="A31:B31"/>
    <mergeCell ref="A40:B40"/>
    <mergeCell ref="A41:B41"/>
    <mergeCell ref="A58:B58"/>
    <mergeCell ref="A75:B75"/>
    <mergeCell ref="A79:B79"/>
    <mergeCell ref="A116:B116"/>
    <mergeCell ref="A80:B80"/>
    <mergeCell ref="A82:B82"/>
    <mergeCell ref="A96:B96"/>
    <mergeCell ref="A97:B97"/>
    <mergeCell ref="A103:B103"/>
    <mergeCell ref="A106:B106"/>
    <mergeCell ref="A107:B107"/>
    <mergeCell ref="A109:B109"/>
    <mergeCell ref="A110:B110"/>
    <mergeCell ref="A113:B113"/>
    <mergeCell ref="A115:B115"/>
    <mergeCell ref="A138:B138"/>
    <mergeCell ref="A140:B140"/>
    <mergeCell ref="A141:B141"/>
    <mergeCell ref="A142:B142"/>
    <mergeCell ref="A117:B117"/>
    <mergeCell ref="A127:B127"/>
    <mergeCell ref="A130:B130"/>
    <mergeCell ref="A131:B131"/>
    <mergeCell ref="A132:B132"/>
    <mergeCell ref="A136:B136"/>
  </mergeCells>
  <pageMargins left="0.47244094488188981" right="0.19685039370078741" top="0.19685039370078741" bottom="0.19685039370078741" header="0.19685039370078741" footer="0.19685039370078741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K18" sqref="K18"/>
    </sheetView>
  </sheetViews>
  <sheetFormatPr defaultRowHeight="14.25" x14ac:dyDescent="0.2"/>
  <cols>
    <col min="1" max="1" width="3.625" customWidth="1"/>
    <col min="2" max="2" width="37.25" customWidth="1"/>
    <col min="3" max="3" width="10.375" customWidth="1"/>
    <col min="4" max="4" width="11.625" customWidth="1"/>
    <col min="5" max="5" width="11.375" customWidth="1"/>
    <col min="6" max="6" width="11" style="1" customWidth="1"/>
    <col min="7" max="7" width="10.75" style="1" customWidth="1"/>
    <col min="8" max="8" width="9.625" style="1" customWidth="1"/>
    <col min="9" max="9" width="9.875" style="1" customWidth="1"/>
    <col min="10" max="10" width="10.25" style="1" customWidth="1"/>
    <col min="11" max="11" width="6.875" style="1" customWidth="1"/>
    <col min="12" max="12" width="12.125" customWidth="1"/>
    <col min="13" max="13" width="17.75" customWidth="1"/>
  </cols>
  <sheetData>
    <row r="1" spans="1:13" ht="21" x14ac:dyDescent="0.3">
      <c r="A1" s="269" t="s">
        <v>419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197"/>
    </row>
    <row r="2" spans="1:13" ht="21" x14ac:dyDescent="0.3">
      <c r="A2" s="270" t="s">
        <v>420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197"/>
    </row>
    <row r="3" spans="1:13" ht="21" x14ac:dyDescent="0.3">
      <c r="A3" s="269" t="s">
        <v>421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197"/>
    </row>
    <row r="4" spans="1:13" ht="21" x14ac:dyDescent="0.35">
      <c r="A4" s="198"/>
      <c r="B4" s="198"/>
      <c r="C4" s="198"/>
      <c r="D4" s="198"/>
      <c r="E4" s="271" t="s">
        <v>422</v>
      </c>
      <c r="F4" s="271"/>
      <c r="G4" s="271"/>
      <c r="H4" s="271"/>
      <c r="I4" s="271"/>
      <c r="J4" s="271"/>
      <c r="K4" s="271"/>
      <c r="L4" s="271"/>
      <c r="M4" s="197"/>
    </row>
    <row r="5" spans="1:13" ht="59.25" customHeight="1" x14ac:dyDescent="0.3">
      <c r="A5" s="265" t="s">
        <v>78</v>
      </c>
      <c r="B5" s="265" t="s">
        <v>423</v>
      </c>
      <c r="C5" s="267" t="s">
        <v>424</v>
      </c>
      <c r="D5" s="267" t="s">
        <v>425</v>
      </c>
      <c r="E5" s="274" t="s">
        <v>426</v>
      </c>
      <c r="F5" s="274" t="s">
        <v>73</v>
      </c>
      <c r="G5" s="274" t="s">
        <v>441</v>
      </c>
      <c r="H5" s="274" t="s">
        <v>192</v>
      </c>
      <c r="I5" s="262" t="s">
        <v>446</v>
      </c>
      <c r="J5" s="263"/>
      <c r="K5" s="264"/>
      <c r="L5" s="199" t="s">
        <v>427</v>
      </c>
      <c r="M5" s="197"/>
    </row>
    <row r="6" spans="1:13" s="1" customFormat="1" ht="18" customHeight="1" x14ac:dyDescent="0.3">
      <c r="A6" s="266"/>
      <c r="B6" s="266"/>
      <c r="C6" s="268"/>
      <c r="D6" s="268"/>
      <c r="E6" s="275"/>
      <c r="F6" s="275"/>
      <c r="G6" s="275"/>
      <c r="H6" s="275"/>
      <c r="I6" s="200" t="s">
        <v>445</v>
      </c>
      <c r="J6" s="200" t="s">
        <v>75</v>
      </c>
      <c r="K6" s="200" t="s">
        <v>76</v>
      </c>
      <c r="L6" s="199"/>
      <c r="M6" s="197"/>
    </row>
    <row r="7" spans="1:13" ht="65.25" customHeight="1" x14ac:dyDescent="0.3">
      <c r="A7" s="272">
        <v>1</v>
      </c>
      <c r="B7" s="201" t="s">
        <v>428</v>
      </c>
      <c r="C7" s="202">
        <v>2000000</v>
      </c>
      <c r="D7" s="203" t="s">
        <v>429</v>
      </c>
      <c r="E7" s="203" t="s">
        <v>429</v>
      </c>
      <c r="F7" s="214"/>
      <c r="G7" s="214"/>
      <c r="H7" s="203"/>
      <c r="I7" s="203">
        <f>I8+I9+I10+I11+I12+I13</f>
        <v>200000</v>
      </c>
      <c r="J7" s="203">
        <f>J8+J9+J10+J11+J12+J13</f>
        <v>1800000</v>
      </c>
      <c r="K7" s="216">
        <f>I7*100/C7</f>
        <v>10</v>
      </c>
      <c r="L7" s="204"/>
      <c r="M7" s="197"/>
    </row>
    <row r="8" spans="1:13" ht="45" customHeight="1" x14ac:dyDescent="0.3">
      <c r="A8" s="273"/>
      <c r="B8" s="205" t="s">
        <v>430</v>
      </c>
      <c r="C8" s="206">
        <v>279000</v>
      </c>
      <c r="D8" s="206">
        <v>279000</v>
      </c>
      <c r="E8" s="206">
        <f>C7-D8</f>
        <v>1721000</v>
      </c>
      <c r="F8" s="213"/>
      <c r="G8" s="213"/>
      <c r="H8" s="206"/>
      <c r="I8" s="206">
        <v>0</v>
      </c>
      <c r="J8" s="206">
        <f>C8-I8</f>
        <v>279000</v>
      </c>
      <c r="K8" s="216">
        <f t="shared" ref="K8:K10" si="0">I8*100/C8</f>
        <v>0</v>
      </c>
      <c r="L8" s="212" t="s">
        <v>431</v>
      </c>
      <c r="M8" s="197"/>
    </row>
    <row r="9" spans="1:13" ht="64.5" customHeight="1" x14ac:dyDescent="0.3">
      <c r="A9" s="207"/>
      <c r="B9" s="205" t="s">
        <v>432</v>
      </c>
      <c r="C9" s="206">
        <v>349000</v>
      </c>
      <c r="D9" s="206">
        <f>D8+C9</f>
        <v>628000</v>
      </c>
      <c r="E9" s="206">
        <f>C7-D9</f>
        <v>1372000</v>
      </c>
      <c r="F9" s="213"/>
      <c r="G9" s="213"/>
      <c r="H9" s="206"/>
      <c r="I9" s="206">
        <v>0</v>
      </c>
      <c r="J9" s="206">
        <f t="shared" ref="J9:J13" si="1">C9-I9</f>
        <v>349000</v>
      </c>
      <c r="K9" s="216">
        <f t="shared" si="0"/>
        <v>0</v>
      </c>
      <c r="L9" s="212" t="s">
        <v>433</v>
      </c>
      <c r="M9" s="197"/>
    </row>
    <row r="10" spans="1:13" ht="64.5" customHeight="1" x14ac:dyDescent="0.3">
      <c r="A10" s="207"/>
      <c r="B10" s="205" t="s">
        <v>442</v>
      </c>
      <c r="C10" s="206">
        <v>498000</v>
      </c>
      <c r="D10" s="206">
        <f>D9+C10</f>
        <v>1126000</v>
      </c>
      <c r="E10" s="206">
        <f>C7-D10</f>
        <v>874000</v>
      </c>
      <c r="F10" s="213"/>
      <c r="G10" s="213"/>
      <c r="H10" s="206"/>
      <c r="I10" s="206">
        <v>0</v>
      </c>
      <c r="J10" s="206">
        <f t="shared" si="1"/>
        <v>498000</v>
      </c>
      <c r="K10" s="216">
        <f t="shared" si="0"/>
        <v>0</v>
      </c>
      <c r="L10" s="212" t="s">
        <v>434</v>
      </c>
      <c r="M10" s="197"/>
    </row>
    <row r="11" spans="1:13" ht="63" x14ac:dyDescent="0.3">
      <c r="A11" s="207"/>
      <c r="B11" s="205" t="s">
        <v>435</v>
      </c>
      <c r="C11" s="206">
        <v>200000</v>
      </c>
      <c r="D11" s="206">
        <f>D10+C11</f>
        <v>1326000</v>
      </c>
      <c r="E11" s="206">
        <f>C7-D11</f>
        <v>674000</v>
      </c>
      <c r="F11" s="213" t="s">
        <v>448</v>
      </c>
      <c r="G11" s="215" t="s">
        <v>447</v>
      </c>
      <c r="H11" s="206">
        <v>200000</v>
      </c>
      <c r="I11" s="206">
        <v>200000</v>
      </c>
      <c r="J11" s="206">
        <f t="shared" si="1"/>
        <v>0</v>
      </c>
      <c r="K11" s="206">
        <f>I11*100/C11</f>
        <v>100</v>
      </c>
      <c r="L11" s="212" t="s">
        <v>436</v>
      </c>
      <c r="M11" s="197"/>
    </row>
    <row r="12" spans="1:13" ht="50.25" customHeight="1" x14ac:dyDescent="0.3">
      <c r="A12" s="207"/>
      <c r="B12" s="205" t="s">
        <v>437</v>
      </c>
      <c r="C12" s="206">
        <v>295000</v>
      </c>
      <c r="D12" s="206">
        <f>D11+C12</f>
        <v>1621000</v>
      </c>
      <c r="E12" s="206">
        <f>C7-D12</f>
        <v>379000</v>
      </c>
      <c r="F12" s="213" t="s">
        <v>443</v>
      </c>
      <c r="G12" s="215" t="s">
        <v>444</v>
      </c>
      <c r="H12" s="206">
        <v>293000</v>
      </c>
      <c r="I12" s="206">
        <v>0</v>
      </c>
      <c r="J12" s="206">
        <f t="shared" si="1"/>
        <v>295000</v>
      </c>
      <c r="K12" s="206">
        <f t="shared" ref="K12:K13" si="2">I12*100/C12</f>
        <v>0</v>
      </c>
      <c r="L12" s="212" t="s">
        <v>438</v>
      </c>
      <c r="M12" s="208"/>
    </row>
    <row r="13" spans="1:13" ht="45.75" customHeight="1" x14ac:dyDescent="0.3">
      <c r="A13" s="207"/>
      <c r="B13" s="205" t="s">
        <v>439</v>
      </c>
      <c r="C13" s="206">
        <v>379000</v>
      </c>
      <c r="D13" s="206">
        <f>D12+C13</f>
        <v>2000000</v>
      </c>
      <c r="E13" s="206">
        <f>C7-D13</f>
        <v>0</v>
      </c>
      <c r="F13" s="213"/>
      <c r="G13" s="213"/>
      <c r="H13" s="206"/>
      <c r="I13" s="206">
        <v>0</v>
      </c>
      <c r="J13" s="206">
        <f t="shared" si="1"/>
        <v>379000</v>
      </c>
      <c r="K13" s="206">
        <f t="shared" si="2"/>
        <v>0</v>
      </c>
      <c r="L13" s="212" t="s">
        <v>440</v>
      </c>
      <c r="M13" s="197"/>
    </row>
    <row r="14" spans="1:13" ht="21" x14ac:dyDescent="0.35">
      <c r="A14" s="260" t="s">
        <v>114</v>
      </c>
      <c r="B14" s="261"/>
      <c r="C14" s="209">
        <f>C8+C9+C10+C11+C12+C13</f>
        <v>2000000</v>
      </c>
      <c r="D14" s="209">
        <f>C14</f>
        <v>2000000</v>
      </c>
      <c r="E14" s="209">
        <f>2000000-D14</f>
        <v>0</v>
      </c>
      <c r="F14" s="209"/>
      <c r="G14" s="209"/>
      <c r="H14" s="217">
        <f>H8+H9+H10+H11+H12+H13</f>
        <v>493000</v>
      </c>
      <c r="I14" s="217">
        <f>I8+I9+I10+I11+I12+I13</f>
        <v>200000</v>
      </c>
      <c r="J14" s="217">
        <f>J8+J9+J10+J11+J12+J13</f>
        <v>1800000</v>
      </c>
      <c r="K14" s="218">
        <f>I14*100/C14</f>
        <v>10</v>
      </c>
      <c r="L14" s="210"/>
      <c r="M14" s="197"/>
    </row>
    <row r="15" spans="1:13" ht="18.75" x14ac:dyDescent="0.3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197"/>
    </row>
  </sheetData>
  <mergeCells count="15">
    <mergeCell ref="A1:L1"/>
    <mergeCell ref="A2:L2"/>
    <mergeCell ref="A3:L3"/>
    <mergeCell ref="E4:L4"/>
    <mergeCell ref="A7:A8"/>
    <mergeCell ref="D5:D6"/>
    <mergeCell ref="E5:E6"/>
    <mergeCell ref="H5:H6"/>
    <mergeCell ref="F5:F6"/>
    <mergeCell ref="G5:G6"/>
    <mergeCell ref="A14:B14"/>
    <mergeCell ref="I5:K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งบจังหวัด60</vt:lpstr>
      <vt:lpstr>งบกลุ่ม60</vt:lpstr>
      <vt:lpstr>งบ 8 ล้าน</vt:lpstr>
      <vt:lpstr>เหมียว 250000</vt:lpstr>
      <vt:lpstr>Sheet1</vt:lpstr>
      <vt:lpstr>Sheet2</vt:lpstr>
      <vt:lpstr>งบจังหวัด60!Print_Area</vt:lpstr>
      <vt:lpstr>Sheet1!Print_Titles</vt:lpstr>
      <vt:lpstr>'งบ 8 ล้าน'!Print_Titles</vt:lpstr>
      <vt:lpstr>งบกลุ่ม60!Print_Titles</vt:lpstr>
      <vt:lpstr>งบจังหวัด60!Print_Titles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com_pc</dc:creator>
  <cp:lastModifiedBy>jass</cp:lastModifiedBy>
  <cp:lastPrinted>2017-02-23T07:47:29Z</cp:lastPrinted>
  <dcterms:created xsi:type="dcterms:W3CDTF">2016-09-06T02:27:04Z</dcterms:created>
  <dcterms:modified xsi:type="dcterms:W3CDTF">2017-02-24T03:23:43Z</dcterms:modified>
</cp:coreProperties>
</file>