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4+6 รวม" sheetId="2" r:id="rId1"/>
  </sheets>
  <definedNames>
    <definedName name="_xlnm.Print_Area" localSheetId="0">'4+6 รวม'!$A$1:$BP$18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16" i="2" l="1"/>
  <c r="BK16" i="2"/>
  <c r="E16" i="2"/>
  <c r="D16" i="2"/>
  <c r="C16" i="2"/>
  <c r="BM15" i="2"/>
  <c r="BJ15" i="2"/>
  <c r="BI15" i="2"/>
  <c r="BH15" i="2"/>
  <c r="BG15" i="2"/>
  <c r="BF15" i="2"/>
  <c r="BE15" i="2"/>
  <c r="BA15" i="2"/>
  <c r="AZ15" i="2"/>
  <c r="AY15" i="2"/>
  <c r="AT15" i="2"/>
  <c r="AU15" i="2" s="1"/>
  <c r="AS15" i="2"/>
  <c r="AN15" i="2"/>
  <c r="AM15" i="2"/>
  <c r="AO15" i="2" s="1"/>
  <c r="AI15" i="2"/>
  <c r="AH15" i="2"/>
  <c r="AG15" i="2"/>
  <c r="AC15" i="2"/>
  <c r="AB15" i="2"/>
  <c r="AA15" i="2"/>
  <c r="V15" i="2"/>
  <c r="U15" i="2"/>
  <c r="W15" i="2" s="1"/>
  <c r="P15" i="2"/>
  <c r="O15" i="2"/>
  <c r="Q15" i="2" s="1"/>
  <c r="M15" i="2"/>
  <c r="S15" i="2" s="1"/>
  <c r="Y15" i="2" s="1"/>
  <c r="AE15" i="2" s="1"/>
  <c r="K15" i="2"/>
  <c r="J15" i="2"/>
  <c r="I15" i="2"/>
  <c r="G15" i="2"/>
  <c r="BO15" i="2" s="1"/>
  <c r="F15" i="2"/>
  <c r="E15" i="2"/>
  <c r="BM14" i="2"/>
  <c r="BI14" i="2"/>
  <c r="BH14" i="2"/>
  <c r="BJ14" i="2" s="1"/>
  <c r="BG14" i="2"/>
  <c r="BF14" i="2"/>
  <c r="BE14" i="2"/>
  <c r="AZ14" i="2"/>
  <c r="AY14" i="2"/>
  <c r="BA14" i="2" s="1"/>
  <c r="AT14" i="2"/>
  <c r="AU14" i="2" s="1"/>
  <c r="AS14" i="2"/>
  <c r="AO14" i="2"/>
  <c r="AN14" i="2"/>
  <c r="AM14" i="2"/>
  <c r="AI14" i="2"/>
  <c r="AH14" i="2"/>
  <c r="AG14" i="2"/>
  <c r="AB14" i="2"/>
  <c r="AA14" i="2"/>
  <c r="V14" i="2"/>
  <c r="U14" i="2"/>
  <c r="W14" i="2" s="1"/>
  <c r="S14" i="2"/>
  <c r="Y14" i="2" s="1"/>
  <c r="AE14" i="2" s="1"/>
  <c r="Q14" i="2"/>
  <c r="P14" i="2"/>
  <c r="O14" i="2"/>
  <c r="M14" i="2"/>
  <c r="L14" i="2"/>
  <c r="R14" i="2" s="1"/>
  <c r="X14" i="2" s="1"/>
  <c r="K14" i="2"/>
  <c r="J14" i="2"/>
  <c r="BO14" i="2" s="1"/>
  <c r="I14" i="2"/>
  <c r="G14" i="2"/>
  <c r="F14" i="2"/>
  <c r="BN14" i="2" s="1"/>
  <c r="BP14" i="2" s="1"/>
  <c r="E14" i="2"/>
  <c r="BM13" i="2"/>
  <c r="BI13" i="2"/>
  <c r="BH13" i="2"/>
  <c r="BJ13" i="2" s="1"/>
  <c r="BF13" i="2"/>
  <c r="BE13" i="2"/>
  <c r="BG13" i="2" s="1"/>
  <c r="AZ13" i="2"/>
  <c r="AY13" i="2"/>
  <c r="BA13" i="2" s="1"/>
  <c r="AU13" i="2"/>
  <c r="AT13" i="2"/>
  <c r="AS13" i="2"/>
  <c r="AO13" i="2"/>
  <c r="AN13" i="2"/>
  <c r="AM13" i="2"/>
  <c r="AH13" i="2"/>
  <c r="AG13" i="2"/>
  <c r="AI13" i="2" s="1"/>
  <c r="AB13" i="2"/>
  <c r="AA13" i="2"/>
  <c r="AC13" i="2" s="1"/>
  <c r="W13" i="2"/>
  <c r="V13" i="2"/>
  <c r="U13" i="2"/>
  <c r="Q13" i="2"/>
  <c r="P13" i="2"/>
  <c r="O13" i="2"/>
  <c r="J13" i="2"/>
  <c r="BO13" i="2" s="1"/>
  <c r="I13" i="2"/>
  <c r="BN13" i="2" s="1"/>
  <c r="BP13" i="2" s="1"/>
  <c r="H13" i="2"/>
  <c r="G13" i="2"/>
  <c r="F13" i="2"/>
  <c r="E13" i="2"/>
  <c r="BN12" i="2"/>
  <c r="BM12" i="2"/>
  <c r="BJ12" i="2"/>
  <c r="BI12" i="2"/>
  <c r="BH12" i="2"/>
  <c r="BF12" i="2"/>
  <c r="BE12" i="2"/>
  <c r="BG12" i="2" s="1"/>
  <c r="BA12" i="2"/>
  <c r="AZ12" i="2"/>
  <c r="AY12" i="2"/>
  <c r="AU12" i="2"/>
  <c r="AT12" i="2"/>
  <c r="AS12" i="2"/>
  <c r="AN12" i="2"/>
  <c r="AM12" i="2"/>
  <c r="AO12" i="2" s="1"/>
  <c r="AH12" i="2"/>
  <c r="AG12" i="2"/>
  <c r="AI12" i="2" s="1"/>
  <c r="AC12" i="2"/>
  <c r="AB12" i="2"/>
  <c r="AA12" i="2"/>
  <c r="W12" i="2"/>
  <c r="V12" i="2"/>
  <c r="U12" i="2"/>
  <c r="P12" i="2"/>
  <c r="O12" i="2"/>
  <c r="Q12" i="2" s="1"/>
  <c r="J12" i="2"/>
  <c r="I12" i="2"/>
  <c r="K12" i="2" s="1"/>
  <c r="G12" i="2"/>
  <c r="H12" i="2" s="1"/>
  <c r="N12" i="2" s="1"/>
  <c r="F12" i="2"/>
  <c r="L12" i="2" s="1"/>
  <c r="R12" i="2" s="1"/>
  <c r="E12" i="2"/>
  <c r="BM11" i="2"/>
  <c r="BJ11" i="2"/>
  <c r="BI11" i="2"/>
  <c r="BH11" i="2"/>
  <c r="BG11" i="2"/>
  <c r="BF11" i="2"/>
  <c r="BE11" i="2"/>
  <c r="BA11" i="2"/>
  <c r="AZ11" i="2"/>
  <c r="AY11" i="2"/>
  <c r="AT11" i="2"/>
  <c r="AS11" i="2"/>
  <c r="AN11" i="2"/>
  <c r="AM11" i="2"/>
  <c r="AO11" i="2" s="1"/>
  <c r="AI11" i="2"/>
  <c r="AH11" i="2"/>
  <c r="AG11" i="2"/>
  <c r="AC11" i="2"/>
  <c r="AB11" i="2"/>
  <c r="AA11" i="2"/>
  <c r="V11" i="2"/>
  <c r="V16" i="2" s="1"/>
  <c r="U11" i="2"/>
  <c r="W11" i="2" s="1"/>
  <c r="P11" i="2"/>
  <c r="O11" i="2"/>
  <c r="Q11" i="2" s="1"/>
  <c r="M11" i="2"/>
  <c r="S11" i="2" s="1"/>
  <c r="K11" i="2"/>
  <c r="J11" i="2"/>
  <c r="I11" i="2"/>
  <c r="G11" i="2"/>
  <c r="BO11" i="2" s="1"/>
  <c r="F11" i="2"/>
  <c r="E11" i="2"/>
  <c r="BM10" i="2"/>
  <c r="BI10" i="2"/>
  <c r="BI16" i="2" s="1"/>
  <c r="BH10" i="2"/>
  <c r="BJ10" i="2" s="1"/>
  <c r="BG10" i="2"/>
  <c r="BF10" i="2"/>
  <c r="BE10" i="2"/>
  <c r="AZ10" i="2"/>
  <c r="AY10" i="2"/>
  <c r="AT10" i="2"/>
  <c r="AU10" i="2" s="1"/>
  <c r="AS10" i="2"/>
  <c r="AS16" i="2" s="1"/>
  <c r="AO10" i="2"/>
  <c r="AN10" i="2"/>
  <c r="AM10" i="2"/>
  <c r="AI10" i="2"/>
  <c r="AH10" i="2"/>
  <c r="AG10" i="2"/>
  <c r="AB10" i="2"/>
  <c r="AA10" i="2"/>
  <c r="AC10" i="2" s="1"/>
  <c r="V10" i="2"/>
  <c r="U10" i="2"/>
  <c r="W10" i="2" s="1"/>
  <c r="S10" i="2"/>
  <c r="Y10" i="2" s="1"/>
  <c r="Q10" i="2"/>
  <c r="P10" i="2"/>
  <c r="O10" i="2"/>
  <c r="M10" i="2"/>
  <c r="L10" i="2"/>
  <c r="R10" i="2" s="1"/>
  <c r="X10" i="2" s="1"/>
  <c r="K10" i="2"/>
  <c r="J10" i="2"/>
  <c r="I10" i="2"/>
  <c r="G10" i="2"/>
  <c r="F10" i="2"/>
  <c r="E10" i="2"/>
  <c r="BO9" i="2"/>
  <c r="BM9" i="2"/>
  <c r="BI9" i="2"/>
  <c r="BH9" i="2"/>
  <c r="BH16" i="2" s="1"/>
  <c r="BF9" i="2"/>
  <c r="BE9" i="2"/>
  <c r="AZ9" i="2"/>
  <c r="AZ16" i="2" s="1"/>
  <c r="AY9" i="2"/>
  <c r="BA9" i="2" s="1"/>
  <c r="AU9" i="2"/>
  <c r="AT9" i="2"/>
  <c r="AS9" i="2"/>
  <c r="AO9" i="2"/>
  <c r="AN9" i="2"/>
  <c r="AM9" i="2"/>
  <c r="AH9" i="2"/>
  <c r="AG9" i="2"/>
  <c r="AB9" i="2"/>
  <c r="AA9" i="2"/>
  <c r="AC9" i="2" s="1"/>
  <c r="W9" i="2"/>
  <c r="V9" i="2"/>
  <c r="U9" i="2"/>
  <c r="Q9" i="2"/>
  <c r="P9" i="2"/>
  <c r="O9" i="2"/>
  <c r="J9" i="2"/>
  <c r="I9" i="2"/>
  <c r="H9" i="2"/>
  <c r="G9" i="2"/>
  <c r="F9" i="2"/>
  <c r="E9" i="2"/>
  <c r="BN8" i="2"/>
  <c r="BM8" i="2"/>
  <c r="BM16" i="2" s="1"/>
  <c r="BJ8" i="2"/>
  <c r="BI8" i="2"/>
  <c r="BH8" i="2"/>
  <c r="BF8" i="2"/>
  <c r="BE8" i="2"/>
  <c r="BA8" i="2"/>
  <c r="AZ8" i="2"/>
  <c r="AY8" i="2"/>
  <c r="AY16" i="2" s="1"/>
  <c r="AU8" i="2"/>
  <c r="AT8" i="2"/>
  <c r="AS8" i="2"/>
  <c r="AN8" i="2"/>
  <c r="AN16" i="2" s="1"/>
  <c r="AM8" i="2"/>
  <c r="AH8" i="2"/>
  <c r="AH16" i="2" s="1"/>
  <c r="AG8" i="2"/>
  <c r="AG16" i="2" s="1"/>
  <c r="AC8" i="2"/>
  <c r="AB8" i="2"/>
  <c r="AA8" i="2"/>
  <c r="W8" i="2"/>
  <c r="V8" i="2"/>
  <c r="U8" i="2"/>
  <c r="P8" i="2"/>
  <c r="O8" i="2"/>
  <c r="J8" i="2"/>
  <c r="I8" i="2"/>
  <c r="G8" i="2"/>
  <c r="H8" i="2" s="1"/>
  <c r="F8" i="2"/>
  <c r="L8" i="2" s="1"/>
  <c r="R8" i="2" s="1"/>
  <c r="X8" i="2" s="1"/>
  <c r="E8" i="2"/>
  <c r="N8" i="2" l="1"/>
  <c r="AD8" i="2"/>
  <c r="AK14" i="2"/>
  <c r="AQ14" i="2" s="1"/>
  <c r="AW14" i="2" s="1"/>
  <c r="BC14" i="2" s="1"/>
  <c r="AO8" i="2"/>
  <c r="AO16" i="2" s="1"/>
  <c r="AM16" i="2"/>
  <c r="BG9" i="2"/>
  <c r="BN10" i="2"/>
  <c r="T14" i="2"/>
  <c r="L15" i="2"/>
  <c r="R15" i="2" s="1"/>
  <c r="BN15" i="2"/>
  <c r="BP15" i="2" s="1"/>
  <c r="H15" i="2"/>
  <c r="N15" i="2" s="1"/>
  <c r="BA16" i="2"/>
  <c r="M8" i="2"/>
  <c r="S8" i="2" s="1"/>
  <c r="BO8" i="2"/>
  <c r="G16" i="2"/>
  <c r="I16" i="2"/>
  <c r="K16" i="2" s="1"/>
  <c r="AA16" i="2"/>
  <c r="AB16" i="2"/>
  <c r="AE10" i="2"/>
  <c r="X12" i="2"/>
  <c r="Z14" i="2"/>
  <c r="AD14" i="2"/>
  <c r="AJ14" i="2" s="1"/>
  <c r="Z10" i="2"/>
  <c r="AD10" i="2"/>
  <c r="AJ10" i="2" s="1"/>
  <c r="BN9" i="2"/>
  <c r="BP9" i="2" s="1"/>
  <c r="L9" i="2"/>
  <c r="R9" i="2" s="1"/>
  <c r="K9" i="2"/>
  <c r="N9" i="2" s="1"/>
  <c r="BP8" i="2"/>
  <c r="M12" i="2"/>
  <c r="S12" i="2" s="1"/>
  <c r="Y12" i="2" s="1"/>
  <c r="AE12" i="2" s="1"/>
  <c r="BO12" i="2"/>
  <c r="BP12" i="2" s="1"/>
  <c r="J16" i="2"/>
  <c r="Q8" i="2"/>
  <c r="O16" i="2"/>
  <c r="BE16" i="2"/>
  <c r="AI9" i="2"/>
  <c r="BO10" i="2"/>
  <c r="T10" i="2"/>
  <c r="BA10" i="2"/>
  <c r="AU11" i="2"/>
  <c r="AT16" i="2"/>
  <c r="AC14" i="2"/>
  <c r="AC16" i="2" s="1"/>
  <c r="Y11" i="2"/>
  <c r="AE11" i="2" s="1"/>
  <c r="P16" i="2"/>
  <c r="AU16" i="2"/>
  <c r="BF16" i="2"/>
  <c r="M9" i="2"/>
  <c r="S9" i="2" s="1"/>
  <c r="Y9" i="2" s="1"/>
  <c r="AE9" i="2" s="1"/>
  <c r="AK9" i="2" s="1"/>
  <c r="AQ9" i="2" s="1"/>
  <c r="AW9" i="2" s="1"/>
  <c r="BC9" i="2" s="1"/>
  <c r="L11" i="2"/>
  <c r="R11" i="2" s="1"/>
  <c r="BN11" i="2"/>
  <c r="BP11" i="2" s="1"/>
  <c r="H11" i="2"/>
  <c r="N11" i="2" s="1"/>
  <c r="F16" i="2"/>
  <c r="M13" i="2"/>
  <c r="S13" i="2" s="1"/>
  <c r="Y13" i="2" s="1"/>
  <c r="AE13" i="2" s="1"/>
  <c r="N14" i="2"/>
  <c r="AK15" i="2"/>
  <c r="AQ15" i="2" s="1"/>
  <c r="AW15" i="2" s="1"/>
  <c r="BC15" i="2" s="1"/>
  <c r="U16" i="2"/>
  <c r="W16" i="2" s="1"/>
  <c r="K8" i="2"/>
  <c r="AI8" i="2"/>
  <c r="BG8" i="2"/>
  <c r="K13" i="2"/>
  <c r="N13" i="2" s="1"/>
  <c r="L13" i="2"/>
  <c r="R13" i="2" s="1"/>
  <c r="R16" i="2" s="1"/>
  <c r="BJ9" i="2"/>
  <c r="BJ16" i="2" s="1"/>
  <c r="H10" i="2"/>
  <c r="N10" i="2" s="1"/>
  <c r="H14" i="2"/>
  <c r="S16" i="2" l="1"/>
  <c r="T16" i="2" s="1"/>
  <c r="Y8" i="2"/>
  <c r="L16" i="2"/>
  <c r="H16" i="2"/>
  <c r="N16" i="2" s="1"/>
  <c r="AK11" i="2"/>
  <c r="AQ11" i="2" s="1"/>
  <c r="AW11" i="2" s="1"/>
  <c r="BC11" i="2" s="1"/>
  <c r="BN16" i="2"/>
  <c r="BP16" i="2" s="1"/>
  <c r="T8" i="2"/>
  <c r="X13" i="2"/>
  <c r="T13" i="2"/>
  <c r="AK13" i="2"/>
  <c r="AQ13" i="2" s="1"/>
  <c r="AW13" i="2" s="1"/>
  <c r="BC13" i="2" s="1"/>
  <c r="BG16" i="2"/>
  <c r="AI16" i="2"/>
  <c r="Q16" i="2"/>
  <c r="AP14" i="2"/>
  <c r="AL14" i="2"/>
  <c r="T15" i="2"/>
  <c r="X15" i="2"/>
  <c r="AF14" i="2"/>
  <c r="T11" i="2"/>
  <c r="X11" i="2"/>
  <c r="X9" i="2"/>
  <c r="T9" i="2"/>
  <c r="M16" i="2"/>
  <c r="T12" i="2"/>
  <c r="AF10" i="2"/>
  <c r="AK10" i="2"/>
  <c r="AQ10" i="2" s="1"/>
  <c r="AW10" i="2" s="1"/>
  <c r="BC10" i="2" s="1"/>
  <c r="AK12" i="2"/>
  <c r="AQ12" i="2" s="1"/>
  <c r="AW12" i="2" s="1"/>
  <c r="BC12" i="2" s="1"/>
  <c r="AF12" i="2"/>
  <c r="AP10" i="2"/>
  <c r="AD12" i="2"/>
  <c r="AJ12" i="2" s="1"/>
  <c r="Z12" i="2"/>
  <c r="BO16" i="2"/>
  <c r="BP10" i="2"/>
  <c r="AJ8" i="2"/>
  <c r="Z11" i="2" l="1"/>
  <c r="AD11" i="2"/>
  <c r="Y16" i="2"/>
  <c r="AE8" i="2"/>
  <c r="Z8" i="2"/>
  <c r="AV10" i="2"/>
  <c r="AR10" i="2"/>
  <c r="AP8" i="2"/>
  <c r="AD13" i="2"/>
  <c r="Z13" i="2"/>
  <c r="AD9" i="2"/>
  <c r="Z9" i="2"/>
  <c r="X16" i="2"/>
  <c r="Z16" i="2" s="1"/>
  <c r="Z15" i="2"/>
  <c r="AD15" i="2"/>
  <c r="AL12" i="2"/>
  <c r="AP12" i="2"/>
  <c r="AL10" i="2"/>
  <c r="AV14" i="2"/>
  <c r="AR14" i="2"/>
  <c r="AX14" i="2" l="1"/>
  <c r="BB14" i="2"/>
  <c r="BD14" i="2" s="1"/>
  <c r="AK8" i="2"/>
  <c r="AE16" i="2"/>
  <c r="AF8" i="2"/>
  <c r="AJ11" i="2"/>
  <c r="AF11" i="2"/>
  <c r="AX10" i="2"/>
  <c r="BB10" i="2"/>
  <c r="BD10" i="2" s="1"/>
  <c r="AF9" i="2"/>
  <c r="AJ9" i="2"/>
  <c r="AD16" i="2"/>
  <c r="AR12" i="2"/>
  <c r="AV12" i="2"/>
  <c r="AJ13" i="2"/>
  <c r="AF13" i="2"/>
  <c r="AV8" i="2"/>
  <c r="AJ15" i="2"/>
  <c r="AF15" i="2"/>
  <c r="BB12" i="2" l="1"/>
  <c r="BD12" i="2" s="1"/>
  <c r="AX12" i="2"/>
  <c r="AL13" i="2"/>
  <c r="AP13" i="2"/>
  <c r="AP11" i="2"/>
  <c r="AL11" i="2"/>
  <c r="AL9" i="2"/>
  <c r="AP9" i="2"/>
  <c r="AJ16" i="2"/>
  <c r="AQ8" i="2"/>
  <c r="AK16" i="2"/>
  <c r="AL8" i="2"/>
  <c r="AF16" i="2"/>
  <c r="AP15" i="2"/>
  <c r="AL15" i="2"/>
  <c r="BB8" i="2"/>
  <c r="AV9" i="2" l="1"/>
  <c r="AR9" i="2"/>
  <c r="AP16" i="2"/>
  <c r="AR15" i="2"/>
  <c r="AV15" i="2"/>
  <c r="AV13" i="2"/>
  <c r="AR13" i="2"/>
  <c r="AQ16" i="2"/>
  <c r="AW8" i="2"/>
  <c r="AR8" i="2"/>
  <c r="AR11" i="2"/>
  <c r="AV11" i="2"/>
  <c r="AL16" i="2"/>
  <c r="BB13" i="2" l="1"/>
  <c r="BD13" i="2" s="1"/>
  <c r="AX13" i="2"/>
  <c r="AX15" i="2"/>
  <c r="BB15" i="2"/>
  <c r="BD15" i="2" s="1"/>
  <c r="AX11" i="2"/>
  <c r="BB11" i="2"/>
  <c r="BD11" i="2" s="1"/>
  <c r="AR16" i="2"/>
  <c r="AW16" i="2"/>
  <c r="BC8" i="2"/>
  <c r="AX8" i="2"/>
  <c r="BB9" i="2"/>
  <c r="AX9" i="2"/>
  <c r="AV16" i="2"/>
  <c r="BD9" i="2" l="1"/>
  <c r="BB16" i="2"/>
  <c r="BD16" i="2" s="1"/>
  <c r="AX16" i="2"/>
  <c r="BC16" i="2"/>
  <c r="BD8" i="2"/>
</calcChain>
</file>

<file path=xl/sharedStrings.xml><?xml version="1.0" encoding="utf-8"?>
<sst xmlns="http://schemas.openxmlformats.org/spreadsheetml/2006/main" count="99" uniqueCount="35">
  <si>
    <r>
      <t xml:space="preserve">รายงานยอดสะสมระหว่างวันที่ 12 มิถุนายน </t>
    </r>
    <r>
      <rPr>
        <b/>
        <sz val="26"/>
        <color theme="3" tint="-0.249977111117893"/>
        <rFont val="TH SarabunIT๙"/>
        <family val="2"/>
      </rPr>
      <t>-</t>
    </r>
    <r>
      <rPr>
        <b/>
        <sz val="24"/>
        <color theme="3" tint="-0.249977111117893"/>
        <rFont val="TH SarabunIT๙"/>
        <family val="2"/>
      </rPr>
      <t xml:space="preserve"> 22 พฤศจิกายน 2560</t>
    </r>
  </si>
  <si>
    <t>ที่</t>
  </si>
  <si>
    <t>ศูนย์ดำรงธรรม</t>
  </si>
  <si>
    <t>ครั้งที่ 1 - 3 (12 มิ.ย. - 21 ก.ค.60)</t>
  </si>
  <si>
    <t>ครั้งที่ 1 -3
(12 มิ.ย. - 21 ก.ค.60)</t>
  </si>
  <si>
    <t>ครั้งที่ 4
(24 ก.ค.-4 ส.ค. 60)</t>
  </si>
  <si>
    <t>ครั้งที่ 1 - 4
(12 มิ.ย. - 4 ส.ค. 60)</t>
  </si>
  <si>
    <t>ครั้งที่ 5 
(7-18 สิงหาคม 2560)</t>
  </si>
  <si>
    <t>ครั้งที่ 1 - 5
(12 มิ.ย. - 18 ส.ค. 60)</t>
  </si>
  <si>
    <t>ครั้งที่ 6 
(21 ส.ค.-1 ก.ย. 60)</t>
  </si>
  <si>
    <t>ครั้งที่ 1 - 6
(12 มิ.ย. - 1 ก.ย. 60)</t>
  </si>
  <si>
    <t>ครั้งที่ 7
(4 - 15 ก.ย. 2560)</t>
  </si>
  <si>
    <t>ครั้งที่ 1 - 7
(12 มิ.ย. - 15 ก.ย. 60)</t>
  </si>
  <si>
    <t>ครั้งที่ 8
(18 - 29 ก.ย. 60)</t>
  </si>
  <si>
    <t>ครั้งที่ 1 - 8
(12 มิ.ย. - 29 ก.ย. 60)</t>
  </si>
  <si>
    <t>ครั้งที่ 9 
(2 - 12 ต.ค. 60)</t>
  </si>
  <si>
    <t>ครั้งที่ 1 - 9
(12 มิย. - 27 ต.ค. 60)</t>
  </si>
  <si>
    <t>ครั้งที่ 10 
(16 - 27 ต.ค. 60)</t>
  </si>
  <si>
    <t>ครั้งที่ 1 - 10
(12 มิ.ย. - 27 ต.ค. 60)</t>
  </si>
  <si>
    <t>ครั้งที่ 11
(30 ต.ค. - 10 พ.ย. 60)</t>
  </si>
  <si>
    <t>13 - 21 ต.ค. 60</t>
  </si>
  <si>
    <t>ยอดสะสม (คน)</t>
  </si>
  <si>
    <t>ชาย</t>
  </si>
  <si>
    <t>หญิง</t>
  </si>
  <si>
    <t>รวม</t>
  </si>
  <si>
    <t>จังหวัดอ่างทอง</t>
  </si>
  <si>
    <t>อำเภอเมืองอ่างทอง</t>
  </si>
  <si>
    <t>อำเภอวิเศษชัยชาญ</t>
  </si>
  <si>
    <t>อำเภอโพธิ์ทอง</t>
  </si>
  <si>
    <t>อำเภอป่าโมก</t>
  </si>
  <si>
    <t>อำเภอไชโย</t>
  </si>
  <si>
    <t>อำเภอแสวงหา</t>
  </si>
  <si>
    <t>อำเภอสามโก้</t>
  </si>
  <si>
    <t>หมายเหตุ : ยอดสะสมตั้งแต่วันที่ 12 มิถุนายน - 22 พฤศจิกายน 2560 มีผู้มาตอบแบบสอบถามรวมทั้งสิ้น 8,280 ราย</t>
  </si>
  <si>
    <r>
      <t xml:space="preserve">                           </t>
    </r>
    <r>
      <rPr>
        <b/>
        <sz val="18"/>
        <color theme="1"/>
        <rFont val="TH SarabunIT๙"/>
        <family val="2"/>
      </rPr>
      <t>แบ่งเป็น ชาย 3,780 ราย และหญิง 4,500 ราย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</si>
</sst>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D07041E]d\ mmmm\ yyyy;@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b/>
      <sz val="24"/>
      <color theme="3" tint="-0.249977111117893"/>
      <name val="TH SarabunIT๙"/>
      <family val="2"/>
    </font>
    <font>
      <b/>
      <sz val="26"/>
      <color theme="3" tint="-0.249977111117893"/>
      <name val="TH SarabunIT๙"/>
      <family val="2"/>
    </font>
    <font>
      <b/>
      <sz val="20"/>
      <color theme="1"/>
      <name val="TH SarabunIT๙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sz val="16"/>
      <color theme="1"/>
      <name val="Tahoma"/>
      <family val="2"/>
      <scheme val="minor"/>
    </font>
    <font>
      <b/>
      <sz val="14"/>
      <name val="TH SarabunIT๙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IT๙"/>
      <family val="2"/>
    </font>
    <font>
      <sz val="11"/>
      <color theme="1"/>
      <name val="TH SarabunIT๙"/>
      <family val="2"/>
    </font>
    <font>
      <sz val="20"/>
      <color theme="1"/>
      <name val="TH SarabunIT๙"/>
      <family val="2"/>
    </font>
    <font>
      <b/>
      <sz val="18"/>
      <name val="TH SarabunIT๙"/>
      <family val="2"/>
    </font>
    <font>
      <sz val="16"/>
      <color theme="1"/>
      <name val="TH SarabunIT๙"/>
      <family val="2"/>
    </font>
    <font>
      <sz val="18"/>
      <name val="TH SarabunIT๙"/>
      <family val="2"/>
    </font>
    <font>
      <b/>
      <sz val="26"/>
      <color theme="1"/>
      <name val="TH SarabunIT๙"/>
      <family val="2"/>
    </font>
  </fonts>
  <fills count="19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2" borderId="1" xfId="1" applyFont="1" applyFill="1" applyBorder="1" applyAlignment="1"/>
    <xf numFmtId="0" fontId="2" fillId="2" borderId="2" xfId="1" applyFont="1" applyFill="1" applyBorder="1" applyAlignment="1"/>
    <xf numFmtId="0" fontId="2" fillId="2" borderId="3" xfId="1" applyFont="1" applyFill="1" applyBorder="1" applyAlignment="1"/>
    <xf numFmtId="0" fontId="3" fillId="0" borderId="0" xfId="1" applyFont="1"/>
    <xf numFmtId="0" fontId="2" fillId="2" borderId="4" xfId="1" applyFont="1" applyFill="1" applyBorder="1" applyAlignment="1"/>
    <xf numFmtId="0" fontId="2" fillId="2" borderId="0" xfId="1" applyFont="1" applyFill="1" applyBorder="1" applyAlignment="1"/>
    <xf numFmtId="0" fontId="2" fillId="2" borderId="5" xfId="1" applyFont="1" applyFill="1" applyBorder="1" applyAlignment="1"/>
    <xf numFmtId="0" fontId="2" fillId="2" borderId="4" xfId="1" applyFont="1" applyFill="1" applyBorder="1"/>
    <xf numFmtId="0" fontId="2" fillId="2" borderId="0" xfId="1" applyFont="1" applyFill="1" applyBorder="1"/>
    <xf numFmtId="0" fontId="2" fillId="2" borderId="5" xfId="1" applyFont="1" applyFill="1" applyBorder="1"/>
    <xf numFmtId="0" fontId="14" fillId="0" borderId="0" xfId="1" applyFont="1"/>
    <xf numFmtId="0" fontId="7" fillId="4" borderId="6" xfId="1" applyFont="1" applyFill="1" applyBorder="1" applyAlignment="1">
      <alignment horizontal="center" vertical="center" wrapText="1"/>
    </xf>
    <xf numFmtId="0" fontId="2" fillId="18" borderId="6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7" borderId="6" xfId="1" applyFont="1" applyFill="1" applyBorder="1" applyAlignment="1">
      <alignment horizontal="center" vertical="center" wrapText="1"/>
    </xf>
    <xf numFmtId="0" fontId="2" fillId="8" borderId="6" xfId="1" applyFont="1" applyFill="1" applyBorder="1" applyAlignment="1">
      <alignment horizontal="center" vertical="center" wrapText="1"/>
    </xf>
    <xf numFmtId="0" fontId="2" fillId="9" borderId="6" xfId="1" applyFont="1" applyFill="1" applyBorder="1" applyAlignment="1">
      <alignment horizontal="center" vertical="center" wrapText="1"/>
    </xf>
    <xf numFmtId="0" fontId="15" fillId="10" borderId="6" xfId="1" applyFont="1" applyFill="1" applyBorder="1" applyAlignment="1">
      <alignment horizontal="center" vertical="center" wrapText="1"/>
    </xf>
    <xf numFmtId="0" fontId="2" fillId="11" borderId="6" xfId="1" applyFont="1" applyFill="1" applyBorder="1" applyAlignment="1">
      <alignment horizontal="center" vertical="center" wrapText="1"/>
    </xf>
    <xf numFmtId="0" fontId="2" fillId="12" borderId="6" xfId="1" applyFont="1" applyFill="1" applyBorder="1" applyAlignment="1">
      <alignment horizontal="center" vertical="center" wrapText="1"/>
    </xf>
    <xf numFmtId="0" fontId="2" fillId="13" borderId="6" xfId="1" applyFont="1" applyFill="1" applyBorder="1" applyAlignment="1">
      <alignment horizontal="center" vertical="center" wrapText="1"/>
    </xf>
    <xf numFmtId="0" fontId="2" fillId="14" borderId="6" xfId="1" applyFont="1" applyFill="1" applyBorder="1" applyAlignment="1">
      <alignment horizontal="center" vertical="center" wrapText="1"/>
    </xf>
    <xf numFmtId="0" fontId="2" fillId="15" borderId="6" xfId="1" applyFont="1" applyFill="1" applyBorder="1" applyAlignment="1">
      <alignment horizontal="center" vertical="center" wrapText="1"/>
    </xf>
    <xf numFmtId="0" fontId="2" fillId="16" borderId="6" xfId="1" applyFont="1" applyFill="1" applyBorder="1" applyAlignment="1">
      <alignment horizontal="center" vertical="center" wrapText="1"/>
    </xf>
    <xf numFmtId="0" fontId="2" fillId="17" borderId="6" xfId="1" applyFont="1" applyFill="1" applyBorder="1" applyAlignment="1">
      <alignment horizontal="center" vertical="center" wrapText="1"/>
    </xf>
    <xf numFmtId="16" fontId="16" fillId="0" borderId="0" xfId="1" applyNumberFormat="1" applyFont="1"/>
    <xf numFmtId="0" fontId="7" fillId="3" borderId="6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vertical="center" wrapText="1"/>
    </xf>
    <xf numFmtId="0" fontId="16" fillId="4" borderId="6" xfId="1" applyFont="1" applyFill="1" applyBorder="1" applyAlignment="1">
      <alignment horizontal="center" vertical="center"/>
    </xf>
    <xf numFmtId="0" fontId="16" fillId="18" borderId="6" xfId="1" applyFont="1" applyFill="1" applyBorder="1" applyAlignment="1">
      <alignment horizontal="center" vertical="center"/>
    </xf>
    <xf numFmtId="0" fontId="16" fillId="5" borderId="6" xfId="1" applyFont="1" applyFill="1" applyBorder="1" applyAlignment="1">
      <alignment horizontal="center" vertical="center"/>
    </xf>
    <xf numFmtId="0" fontId="16" fillId="6" borderId="6" xfId="1" applyFont="1" applyFill="1" applyBorder="1" applyAlignment="1">
      <alignment horizontal="center" vertical="center"/>
    </xf>
    <xf numFmtId="0" fontId="16" fillId="7" borderId="6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0" fontId="3" fillId="8" borderId="6" xfId="1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/>
    </xf>
    <xf numFmtId="0" fontId="17" fillId="10" borderId="6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11" borderId="6" xfId="1" applyFont="1" applyFill="1" applyBorder="1" applyAlignment="1">
      <alignment horizontal="center" vertical="center"/>
    </xf>
    <xf numFmtId="0" fontId="3" fillId="12" borderId="6" xfId="1" applyFont="1" applyFill="1" applyBorder="1" applyAlignment="1">
      <alignment horizontal="center" vertical="center"/>
    </xf>
    <xf numFmtId="0" fontId="3" fillId="13" borderId="6" xfId="1" applyFont="1" applyFill="1" applyBorder="1" applyAlignment="1">
      <alignment horizontal="center" vertical="center"/>
    </xf>
    <xf numFmtId="0" fontId="3" fillId="14" borderId="6" xfId="1" applyFont="1" applyFill="1" applyBorder="1" applyAlignment="1">
      <alignment horizontal="center" vertical="center"/>
    </xf>
    <xf numFmtId="1" fontId="3" fillId="15" borderId="6" xfId="2" applyNumberFormat="1" applyFont="1" applyFill="1" applyBorder="1" applyAlignment="1">
      <alignment horizontal="center" vertical="center"/>
    </xf>
    <xf numFmtId="0" fontId="3" fillId="15" borderId="6" xfId="1" applyFont="1" applyFill="1" applyBorder="1" applyAlignment="1">
      <alignment horizontal="center" vertical="center"/>
    </xf>
    <xf numFmtId="0" fontId="3" fillId="16" borderId="6" xfId="1" applyFont="1" applyFill="1" applyBorder="1" applyAlignment="1">
      <alignment horizontal="center" vertical="center"/>
    </xf>
    <xf numFmtId="1" fontId="3" fillId="17" borderId="6" xfId="1" applyNumberFormat="1" applyFont="1" applyFill="1" applyBorder="1" applyAlignment="1">
      <alignment horizontal="center" vertical="center"/>
    </xf>
    <xf numFmtId="0" fontId="3" fillId="17" borderId="6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2" fillId="3" borderId="6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8" fillId="7" borderId="6" xfId="1" applyFont="1" applyFill="1" applyBorder="1" applyAlignment="1">
      <alignment horizontal="center" vertical="center"/>
    </xf>
    <xf numFmtId="0" fontId="2" fillId="7" borderId="6" xfId="1" applyFont="1" applyFill="1" applyBorder="1" applyAlignment="1">
      <alignment horizontal="center" vertical="center"/>
    </xf>
    <xf numFmtId="3" fontId="12" fillId="7" borderId="6" xfId="1" applyNumberFormat="1" applyFont="1" applyFill="1" applyBorder="1" applyAlignment="1">
      <alignment horizontal="center" vertical="center"/>
    </xf>
    <xf numFmtId="0" fontId="1" fillId="0" borderId="0" xfId="1" applyAlignment="1"/>
    <xf numFmtId="0" fontId="2" fillId="17" borderId="6" xfId="1" applyFont="1" applyFill="1" applyBorder="1" applyAlignment="1">
      <alignment horizontal="center" vertical="center" wrapText="1"/>
    </xf>
    <xf numFmtId="0" fontId="18" fillId="7" borderId="7" xfId="1" applyFont="1" applyFill="1" applyBorder="1" applyAlignment="1">
      <alignment horizontal="center" vertical="center"/>
    </xf>
    <xf numFmtId="0" fontId="18" fillId="7" borderId="9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/>
    </xf>
    <xf numFmtId="0" fontId="15" fillId="2" borderId="2" xfId="1" applyFont="1" applyFill="1" applyBorder="1" applyAlignment="1">
      <alignment horizontal="left"/>
    </xf>
    <xf numFmtId="0" fontId="15" fillId="2" borderId="3" xfId="1" applyFont="1" applyFill="1" applyBorder="1" applyAlignment="1">
      <alignment horizontal="left"/>
    </xf>
    <xf numFmtId="0" fontId="3" fillId="2" borderId="10" xfId="1" applyFont="1" applyFill="1" applyBorder="1" applyAlignment="1"/>
    <xf numFmtId="0" fontId="1" fillId="2" borderId="11" xfId="1" applyFill="1" applyBorder="1" applyAlignment="1"/>
    <xf numFmtId="0" fontId="1" fillId="2" borderId="12" xfId="1" applyFill="1" applyBorder="1" applyAlignment="1"/>
    <xf numFmtId="0" fontId="12" fillId="12" borderId="7" xfId="1" applyFont="1" applyFill="1" applyBorder="1" applyAlignment="1">
      <alignment horizontal="center" vertical="center" wrapText="1"/>
    </xf>
    <xf numFmtId="0" fontId="1" fillId="12" borderId="8" xfId="1" applyFill="1" applyBorder="1" applyAlignment="1">
      <alignment horizontal="center" vertical="center" wrapText="1"/>
    </xf>
    <xf numFmtId="0" fontId="1" fillId="12" borderId="9" xfId="1" applyFill="1" applyBorder="1" applyAlignment="1">
      <alignment horizontal="center" vertical="center" wrapText="1"/>
    </xf>
    <xf numFmtId="0" fontId="12" fillId="13" borderId="7" xfId="1" applyNumberFormat="1" applyFont="1" applyFill="1" applyBorder="1" applyAlignment="1">
      <alignment horizontal="center" vertical="center" wrapText="1"/>
    </xf>
    <xf numFmtId="0" fontId="2" fillId="13" borderId="8" xfId="1" applyNumberFormat="1" applyFont="1" applyFill="1" applyBorder="1" applyAlignment="1">
      <alignment horizontal="center" vertical="center" wrapText="1"/>
    </xf>
    <xf numFmtId="0" fontId="2" fillId="13" borderId="9" xfId="1" applyNumberFormat="1" applyFont="1" applyFill="1" applyBorder="1" applyAlignment="1">
      <alignment horizontal="center" vertical="center" wrapText="1"/>
    </xf>
    <xf numFmtId="0" fontId="12" fillId="12" borderId="7" xfId="1" applyNumberFormat="1" applyFont="1" applyFill="1" applyBorder="1" applyAlignment="1">
      <alignment horizontal="center" vertical="center" wrapText="1"/>
    </xf>
    <xf numFmtId="187" fontId="12" fillId="14" borderId="7" xfId="1" applyNumberFormat="1" applyFont="1" applyFill="1" applyBorder="1" applyAlignment="1">
      <alignment horizontal="center" vertical="center" wrapText="1"/>
    </xf>
    <xf numFmtId="187" fontId="9" fillId="14" borderId="8" xfId="1" applyNumberFormat="1" applyFont="1" applyFill="1" applyBorder="1" applyAlignment="1">
      <alignment horizontal="center" vertical="center" wrapText="1"/>
    </xf>
    <xf numFmtId="187" fontId="9" fillId="14" borderId="9" xfId="1" applyNumberFormat="1" applyFont="1" applyFill="1" applyBorder="1" applyAlignment="1">
      <alignment horizontal="center" vertical="center" wrapText="1"/>
    </xf>
    <xf numFmtId="15" fontId="7" fillId="15" borderId="7" xfId="1" applyNumberFormat="1" applyFont="1" applyFill="1" applyBorder="1" applyAlignment="1">
      <alignment horizontal="center" vertical="center" wrapText="1"/>
    </xf>
    <xf numFmtId="0" fontId="7" fillId="15" borderId="8" xfId="1" applyNumberFormat="1" applyFont="1" applyFill="1" applyBorder="1" applyAlignment="1">
      <alignment horizontal="center" vertical="center" wrapText="1"/>
    </xf>
    <xf numFmtId="0" fontId="7" fillId="15" borderId="9" xfId="1" applyNumberFormat="1" applyFont="1" applyFill="1" applyBorder="1" applyAlignment="1">
      <alignment horizontal="center" vertical="center" wrapText="1"/>
    </xf>
    <xf numFmtId="15" fontId="12" fillId="16" borderId="7" xfId="1" applyNumberFormat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187" fontId="10" fillId="10" borderId="7" xfId="1" applyNumberFormat="1" applyFont="1" applyFill="1" applyBorder="1" applyAlignment="1">
      <alignment horizontal="center" vertical="center" wrapText="1"/>
    </xf>
    <xf numFmtId="187" fontId="12" fillId="7" borderId="7" xfId="1" applyNumberFormat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11" fillId="7" borderId="9" xfId="1" applyFont="1" applyFill="1" applyBorder="1" applyAlignment="1">
      <alignment horizontal="center" vertical="center" wrapText="1"/>
    </xf>
    <xf numFmtId="0" fontId="12" fillId="9" borderId="7" xfId="1" applyFont="1" applyFill="1" applyBorder="1" applyAlignment="1">
      <alignment horizontal="center" vertical="center" wrapText="1"/>
    </xf>
    <xf numFmtId="0" fontId="13" fillId="9" borderId="8" xfId="1" applyFont="1" applyFill="1" applyBorder="1" applyAlignment="1">
      <alignment horizontal="center" vertical="center" wrapText="1"/>
    </xf>
    <xf numFmtId="0" fontId="13" fillId="9" borderId="9" xfId="1" applyFont="1" applyFill="1" applyBorder="1" applyAlignment="1">
      <alignment horizontal="center" vertical="center" wrapText="1"/>
    </xf>
    <xf numFmtId="0" fontId="12" fillId="11" borderId="7" xfId="1" applyFont="1" applyFill="1" applyBorder="1" applyAlignment="1">
      <alignment horizontal="center" vertical="center" wrapText="1"/>
    </xf>
    <xf numFmtId="0" fontId="12" fillId="11" borderId="8" xfId="1" applyFont="1" applyFill="1" applyBorder="1" applyAlignment="1">
      <alignment horizontal="center" vertical="center" wrapText="1"/>
    </xf>
    <xf numFmtId="0" fontId="12" fillId="11" borderId="9" xfId="1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15" fontId="12" fillId="12" borderId="7" xfId="1" applyNumberFormat="1" applyFont="1" applyFill="1" applyBorder="1" applyAlignment="1">
      <alignment horizontal="center" vertical="center" wrapText="1"/>
    </xf>
    <xf numFmtId="0" fontId="11" fillId="12" borderId="8" xfId="1" applyFont="1" applyFill="1" applyBorder="1" applyAlignment="1">
      <alignment horizontal="center" vertical="center" wrapText="1"/>
    </xf>
    <xf numFmtId="0" fontId="11" fillId="12" borderId="9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15" fontId="8" fillId="6" borderId="7" xfId="1" applyNumberFormat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7" fillId="6" borderId="9" xfId="1" applyFont="1" applyFill="1" applyBorder="1" applyAlignment="1">
      <alignment horizontal="center" vertical="center" wrapText="1"/>
    </xf>
    <xf numFmtId="0" fontId="7" fillId="7" borderId="7" xfId="1" applyFont="1" applyFill="1" applyBorder="1" applyAlignment="1">
      <alignment horizontal="center" vertical="center" wrapText="1"/>
    </xf>
    <xf numFmtId="187" fontId="7" fillId="5" borderId="7" xfId="1" applyNumberFormat="1" applyFont="1" applyFill="1" applyBorder="1" applyAlignment="1">
      <alignment horizontal="center" vertical="center" wrapText="1"/>
    </xf>
    <xf numFmtId="187" fontId="9" fillId="5" borderId="8" xfId="1" applyNumberFormat="1" applyFont="1" applyFill="1" applyBorder="1" applyAlignment="1">
      <alignment horizontal="center" vertical="center" wrapText="1"/>
    </xf>
    <xf numFmtId="187" fontId="9" fillId="5" borderId="9" xfId="1" applyNumberFormat="1" applyFont="1" applyFill="1" applyBorder="1" applyAlignment="1">
      <alignment horizontal="center" vertical="center" wrapText="1"/>
    </xf>
    <xf numFmtId="187" fontId="7" fillId="8" borderId="7" xfId="1" applyNumberFormat="1" applyFont="1" applyFill="1" applyBorder="1" applyAlignment="1">
      <alignment horizontal="center" vertical="center" wrapText="1"/>
    </xf>
    <xf numFmtId="187" fontId="7" fillId="9" borderId="7" xfId="1" applyNumberFormat="1" applyFont="1" applyFill="1" applyBorder="1" applyAlignment="1">
      <alignment horizontal="center" vertical="center" wrapText="1"/>
    </xf>
    <xf numFmtId="187" fontId="7" fillId="9" borderId="8" xfId="1" applyNumberFormat="1" applyFont="1" applyFill="1" applyBorder="1" applyAlignment="1">
      <alignment horizontal="center" vertical="center" wrapText="1"/>
    </xf>
    <xf numFmtId="187" fontId="7" fillId="9" borderId="9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เครื่องหมายจุลภาค 2" xfId="2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70</xdr:col>
      <xdr:colOff>358588</xdr:colOff>
      <xdr:row>4</xdr:row>
      <xdr:rowOff>280146</xdr:rowOff>
    </xdr:from>
    <xdr:ext cx="3970742" cy="952500"/>
    <xdr:sp macro="" textlink="">
      <xdr:nvSpPr>
        <xdr:cNvPr id="2" name="สี่เหลี่ยมผืนผ้า 1"/>
        <xdr:cNvSpPr/>
      </xdr:nvSpPr>
      <xdr:spPr>
        <a:xfrm>
          <a:off x="10569388" y="1461246"/>
          <a:ext cx="3970742" cy="9525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  <a:t>ตอบคำถามของ</a:t>
          </a:r>
        </a:p>
        <a:p>
          <a:pPr algn="ctr"/>
          <a: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  <a:t>นายกรัฐมนตรี ๔ ข้อ  </a:t>
          </a:r>
          <a:b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</a:br>
          <a:endParaRPr lang="th-TH" sz="3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7030A0"/>
            </a:solidFill>
            <a:effectLst/>
          </a:endParaRPr>
        </a:p>
      </xdr:txBody>
    </xdr:sp>
    <xdr:clientData/>
  </xdr:oneCellAnchor>
  <xdr:twoCellAnchor editAs="oneCell">
    <xdr:from>
      <xdr:col>0</xdr:col>
      <xdr:colOff>98969</xdr:colOff>
      <xdr:row>0</xdr:row>
      <xdr:rowOff>96560</xdr:rowOff>
    </xdr:from>
    <xdr:to>
      <xdr:col>1</xdr:col>
      <xdr:colOff>1269999</xdr:colOff>
      <xdr:row>4</xdr:row>
      <xdr:rowOff>232834</xdr:rowOff>
    </xdr:to>
    <xdr:pic>
      <xdr:nvPicPr>
        <xdr:cNvPr id="3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9" y="96560"/>
          <a:ext cx="1352005" cy="13173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oneCellAnchor>
    <xdr:from>
      <xdr:col>62</xdr:col>
      <xdr:colOff>21165</xdr:colOff>
      <xdr:row>0</xdr:row>
      <xdr:rowOff>85057</xdr:rowOff>
    </xdr:from>
    <xdr:ext cx="2803405" cy="1250156"/>
    <xdr:sp macro="" textlink="">
      <xdr:nvSpPr>
        <xdr:cNvPr id="4" name="สี่เหลี่ยมผืนผ้า 3"/>
        <xdr:cNvSpPr/>
      </xdr:nvSpPr>
      <xdr:spPr>
        <a:xfrm>
          <a:off x="6117165" y="85057"/>
          <a:ext cx="2803405" cy="1250156"/>
        </a:xfrm>
        <a:prstGeom prst="rect">
          <a:avLst/>
        </a:prstGeom>
        <a:solidFill>
          <a:srgbClr val="FF99CC"/>
        </a:solidFill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th-TH" sz="27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รายงานผลการ</a:t>
          </a:r>
          <a:r>
            <a:rPr lang="th-TH" sz="27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ตอบแบบคำถามของ</a:t>
          </a:r>
          <a:endParaRPr lang="en-US" sz="2700" b="0" cap="none" spc="0">
            <a:ln w="10160">
              <a:solidFill>
                <a:schemeClr val="accent1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/>
          <a:r>
            <a:rPr lang="th-TH" sz="27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นายกรัฐมนตรี ๔ + 6 ข้อ </a:t>
          </a:r>
          <a:endParaRPr lang="th-TH" sz="2700" b="0" cap="none" spc="0">
            <a:ln w="10160">
              <a:solidFill>
                <a:schemeClr val="accent1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</xdr:col>
      <xdr:colOff>940560</xdr:colOff>
      <xdr:row>0</xdr:row>
      <xdr:rowOff>18212</xdr:rowOff>
    </xdr:from>
    <xdr:ext cx="3970742" cy="952500"/>
    <xdr:sp macro="" textlink="">
      <xdr:nvSpPr>
        <xdr:cNvPr id="5" name="สี่เหลี่ยมผืนผ้า 4"/>
        <xdr:cNvSpPr/>
      </xdr:nvSpPr>
      <xdr:spPr>
        <a:xfrm>
          <a:off x="1121535" y="18212"/>
          <a:ext cx="3970742" cy="9525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endParaRPr lang="th-TH" sz="3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7030A0"/>
            </a:solidFill>
            <a:effectLst/>
          </a:endParaRPr>
        </a:p>
      </xdr:txBody>
    </xdr:sp>
    <xdr:clientData/>
  </xdr:oneCellAnchor>
  <xdr:twoCellAnchor editAs="oneCell">
    <xdr:from>
      <xdr:col>58</xdr:col>
      <xdr:colOff>60325</xdr:colOff>
      <xdr:row>0</xdr:row>
      <xdr:rowOff>0</xdr:rowOff>
    </xdr:from>
    <xdr:to>
      <xdr:col>61</xdr:col>
      <xdr:colOff>444500</xdr:colOff>
      <xdr:row>4</xdr:row>
      <xdr:rowOff>170447</xdr:rowOff>
    </xdr:to>
    <xdr:pic>
      <xdr:nvPicPr>
        <xdr:cNvPr id="6" name="รูปภาพ 5"/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137025" y="0"/>
          <a:ext cx="1898650" cy="1351547"/>
        </a:xfrm>
        <a:prstGeom prst="rect">
          <a:avLst/>
        </a:prstGeom>
      </xdr:spPr>
    </xdr:pic>
    <xdr:clientData/>
  </xdr:twoCellAnchor>
  <xdr:oneCellAnchor>
    <xdr:from>
      <xdr:col>1</xdr:col>
      <xdr:colOff>1259415</xdr:colOff>
      <xdr:row>0</xdr:row>
      <xdr:rowOff>19306</xdr:rowOff>
    </xdr:from>
    <xdr:ext cx="2834379" cy="1214436"/>
    <xdr:sp macro="" textlink="">
      <xdr:nvSpPr>
        <xdr:cNvPr id="7" name="สี่เหลี่ยมผืนผ้า 6"/>
        <xdr:cNvSpPr/>
      </xdr:nvSpPr>
      <xdr:spPr>
        <a:xfrm>
          <a:off x="1440390" y="19306"/>
          <a:ext cx="2834379" cy="1214436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th-TH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H SarabunIT๙" panose="020B0500040200020003" pitchFamily="34" charset="-34"/>
              <a:cs typeface="TH SarabunIT๙" panose="020B0500040200020003" pitchFamily="34" charset="-34"/>
            </a:rPr>
            <a:t>"พระสมเด็จเกษไชโย หลวงพ่อโตองค์ใหญ่</a:t>
          </a:r>
        </a:p>
        <a:p>
          <a:pPr algn="ctr"/>
          <a:r>
            <a:rPr lang="th-TH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H SarabunIT๙" panose="020B0500040200020003" pitchFamily="34" charset="-34"/>
              <a:cs typeface="TH SarabunIT๙" panose="020B0500040200020003" pitchFamily="34" charset="-34"/>
            </a:rPr>
            <a:t>วีรไทยใจกล้า ตุ๊กตาชาววัง โด่งดังจักสาน</a:t>
          </a:r>
        </a:p>
        <a:p>
          <a:pPr algn="ctr"/>
          <a:r>
            <a:rPr lang="th-TH" sz="20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/>
              <a:latin typeface="TH SarabunIT๙" panose="020B0500040200020003" pitchFamily="34" charset="-34"/>
              <a:cs typeface="TH SarabunIT๙" panose="020B0500040200020003" pitchFamily="34" charset="-34"/>
            </a:rPr>
            <a:t>ถิ่นฐานทำกลอง เมืองสองพระนอน"</a:t>
          </a:r>
        </a:p>
      </xdr:txBody>
    </xdr:sp>
    <xdr:clientData/>
  </xdr:oneCellAnchor>
  <xdr:oneCellAnchor>
    <xdr:from>
      <xdr:col>1</xdr:col>
      <xdr:colOff>1927422</xdr:colOff>
      <xdr:row>4</xdr:row>
      <xdr:rowOff>0</xdr:rowOff>
    </xdr:from>
    <xdr:ext cx="3339353" cy="392206"/>
    <xdr:sp macro="" textlink="">
      <xdr:nvSpPr>
        <xdr:cNvPr id="8" name="สี่เหลี่ยมผืนผ้า 7"/>
        <xdr:cNvSpPr/>
      </xdr:nvSpPr>
      <xdr:spPr>
        <a:xfrm>
          <a:off x="1555947" y="1181100"/>
          <a:ext cx="3339353" cy="392206"/>
        </a:xfrm>
        <a:prstGeom prst="rect">
          <a:avLst/>
        </a:prstGeom>
        <a:noFill/>
      </xdr:spPr>
      <xdr:txBody>
        <a:bodyPr wrap="none" lIns="91440" tIns="45720" rIns="91440" bIns="45720" anchor="t">
          <a:noAutofit/>
        </a:bodyPr>
        <a:lstStyle/>
        <a:p>
          <a:pPr algn="ctr"/>
          <a: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  <a:t/>
          </a:r>
          <a:br>
            <a:rPr lang="th-TH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7030A0"/>
              </a:solidFill>
              <a:effectLst/>
              <a:latin typeface="TH Baijam" pitchFamily="2" charset="-34"/>
              <a:cs typeface="TH Baijam" pitchFamily="2" charset="-34"/>
            </a:rPr>
          </a:br>
          <a:endParaRPr lang="th-TH" sz="32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solidFill>
              <a:srgbClr val="7030A0"/>
            </a:solidFill>
            <a:effectLst/>
          </a:endParaRPr>
        </a:p>
      </xdr:txBody>
    </xdr:sp>
    <xdr:clientData/>
  </xdr:oneCellAnchor>
  <xdr:oneCellAnchor>
    <xdr:from>
      <xdr:col>59</xdr:col>
      <xdr:colOff>13905</xdr:colOff>
      <xdr:row>3</xdr:row>
      <xdr:rowOff>3330</xdr:rowOff>
    </xdr:from>
    <xdr:ext cx="1180203" cy="275732"/>
    <xdr:sp macro="" textlink="">
      <xdr:nvSpPr>
        <xdr:cNvPr id="9" name="สี่เหลี่ยมผืนผ้า 8"/>
        <xdr:cNvSpPr/>
      </xdr:nvSpPr>
      <xdr:spPr>
        <a:xfrm rot="21414300">
          <a:off x="4595430" y="889155"/>
          <a:ext cx="1180203" cy="275732"/>
        </a:xfrm>
        <a:prstGeom prst="rect">
          <a:avLst/>
        </a:prstGeom>
        <a:noFill/>
      </xdr:spPr>
      <xdr:txBody>
        <a:bodyPr wrap="none" lIns="91440" tIns="45720" rIns="91440" bIns="45720">
          <a:prstTxWarp prst="textSlantUp">
            <a:avLst/>
          </a:prstTxWarp>
          <a:spAutoFit/>
        </a:bodyPr>
        <a:lstStyle/>
        <a:p>
          <a:pPr algn="ctr"/>
          <a:r>
            <a:rPr lang="th-TH" sz="1700" b="1" cap="none" spc="0">
              <a:ln w="12700">
                <a:noFill/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H SarabunIT๙" panose="020B0500040200020003" pitchFamily="34" charset="-34"/>
              <a:cs typeface="TH SarabunIT๙" panose="020B0500040200020003" pitchFamily="34" charset="-34"/>
            </a:rPr>
            <a:t>จังหวัดอ่างทอง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"/>
  <sheetViews>
    <sheetView tabSelected="1" view="pageBreakPreview" topLeftCell="A7" zoomScale="106" zoomScaleNormal="100" zoomScaleSheetLayoutView="106" zoomScalePageLayoutView="70" workbookViewId="0">
      <selection activeCell="BS14" sqref="BS14"/>
    </sheetView>
  </sheetViews>
  <sheetFormatPr defaultColWidth="9" defaultRowHeight="23.25" x14ac:dyDescent="0.35"/>
  <cols>
    <col min="1" max="1" width="2.375" style="4" customWidth="1"/>
    <col min="2" max="2" width="18" style="4" customWidth="1"/>
    <col min="3" max="11" width="5" style="4" hidden="1" customWidth="1"/>
    <col min="12" max="41" width="7.625" style="4" hidden="1" customWidth="1"/>
    <col min="42" max="44" width="8" style="4" hidden="1" customWidth="1"/>
    <col min="45" max="47" width="7.125" style="4" hidden="1" customWidth="1"/>
    <col min="48" max="48" width="7.375" style="4" hidden="1" customWidth="1"/>
    <col min="49" max="50" width="7.5" style="4" hidden="1" customWidth="1"/>
    <col min="51" max="53" width="7.125" style="4" hidden="1" customWidth="1"/>
    <col min="54" max="68" width="6.625" style="4" customWidth="1"/>
    <col min="69" max="75" width="7.125" style="4" customWidth="1"/>
    <col min="76" max="16384" width="9" style="4"/>
  </cols>
  <sheetData>
    <row r="1" spans="1:69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69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7"/>
    </row>
    <row r="3" spans="1:69" x14ac:dyDescent="0.3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10"/>
    </row>
    <row r="4" spans="1:69" x14ac:dyDescent="0.3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10"/>
    </row>
    <row r="5" spans="1:69" ht="33.75" x14ac:dyDescent="0.5">
      <c r="A5" s="96" t="s">
        <v>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8"/>
    </row>
    <row r="6" spans="1:69" s="11" customFormat="1" ht="33" customHeight="1" x14ac:dyDescent="0.4">
      <c r="A6" s="99" t="s">
        <v>1</v>
      </c>
      <c r="B6" s="100" t="s">
        <v>2</v>
      </c>
      <c r="C6" s="101" t="s">
        <v>3</v>
      </c>
      <c r="D6" s="102"/>
      <c r="E6" s="102"/>
      <c r="F6" s="102"/>
      <c r="G6" s="102"/>
      <c r="H6" s="102"/>
      <c r="I6" s="102"/>
      <c r="J6" s="102"/>
      <c r="K6" s="103"/>
      <c r="L6" s="104" t="s">
        <v>4</v>
      </c>
      <c r="M6" s="105"/>
      <c r="N6" s="106"/>
      <c r="O6" s="107" t="s">
        <v>5</v>
      </c>
      <c r="P6" s="108"/>
      <c r="Q6" s="109"/>
      <c r="R6" s="110" t="s">
        <v>6</v>
      </c>
      <c r="S6" s="91"/>
      <c r="T6" s="92"/>
      <c r="U6" s="111" t="s">
        <v>7</v>
      </c>
      <c r="V6" s="112"/>
      <c r="W6" s="113"/>
      <c r="X6" s="114" t="s">
        <v>8</v>
      </c>
      <c r="Y6" s="91"/>
      <c r="Z6" s="92"/>
      <c r="AA6" s="115" t="s">
        <v>9</v>
      </c>
      <c r="AB6" s="116"/>
      <c r="AC6" s="117"/>
      <c r="AD6" s="81" t="s">
        <v>10</v>
      </c>
      <c r="AE6" s="79"/>
      <c r="AF6" s="80"/>
      <c r="AG6" s="82" t="s">
        <v>11</v>
      </c>
      <c r="AH6" s="83"/>
      <c r="AI6" s="84"/>
      <c r="AJ6" s="85" t="s">
        <v>12</v>
      </c>
      <c r="AK6" s="86"/>
      <c r="AL6" s="87"/>
      <c r="AM6" s="88" t="s">
        <v>13</v>
      </c>
      <c r="AN6" s="89"/>
      <c r="AO6" s="90"/>
      <c r="AP6" s="88" t="s">
        <v>14</v>
      </c>
      <c r="AQ6" s="91"/>
      <c r="AR6" s="92"/>
      <c r="AS6" s="93" t="s">
        <v>15</v>
      </c>
      <c r="AT6" s="94"/>
      <c r="AU6" s="95"/>
      <c r="AV6" s="65" t="s">
        <v>16</v>
      </c>
      <c r="AW6" s="66"/>
      <c r="AX6" s="67"/>
      <c r="AY6" s="68" t="s">
        <v>17</v>
      </c>
      <c r="AZ6" s="69"/>
      <c r="BA6" s="70"/>
      <c r="BB6" s="71" t="s">
        <v>18</v>
      </c>
      <c r="BC6" s="66"/>
      <c r="BD6" s="67"/>
      <c r="BE6" s="72" t="s">
        <v>19</v>
      </c>
      <c r="BF6" s="73"/>
      <c r="BG6" s="74"/>
      <c r="BH6" s="75" t="s">
        <v>20</v>
      </c>
      <c r="BI6" s="76"/>
      <c r="BJ6" s="77"/>
      <c r="BK6" s="78">
        <v>22242</v>
      </c>
      <c r="BL6" s="79"/>
      <c r="BM6" s="80"/>
      <c r="BN6" s="56" t="s">
        <v>21</v>
      </c>
      <c r="BO6" s="56"/>
      <c r="BP6" s="56"/>
    </row>
    <row r="7" spans="1:69" s="11" customFormat="1" ht="30" customHeight="1" x14ac:dyDescent="0.4">
      <c r="A7" s="99"/>
      <c r="B7" s="100"/>
      <c r="C7" s="12" t="s">
        <v>22</v>
      </c>
      <c r="D7" s="12" t="s">
        <v>23</v>
      </c>
      <c r="E7" s="12" t="s">
        <v>24</v>
      </c>
      <c r="F7" s="13" t="s">
        <v>22</v>
      </c>
      <c r="G7" s="13" t="s">
        <v>23</v>
      </c>
      <c r="H7" s="13" t="s">
        <v>24</v>
      </c>
      <c r="I7" s="14" t="s">
        <v>22</v>
      </c>
      <c r="J7" s="14" t="s">
        <v>23</v>
      </c>
      <c r="K7" s="14" t="s">
        <v>24</v>
      </c>
      <c r="L7" s="14" t="s">
        <v>22</v>
      </c>
      <c r="M7" s="14" t="s">
        <v>23</v>
      </c>
      <c r="N7" s="14" t="s">
        <v>24</v>
      </c>
      <c r="O7" s="15" t="s">
        <v>22</v>
      </c>
      <c r="P7" s="15" t="s">
        <v>23</v>
      </c>
      <c r="Q7" s="15" t="s">
        <v>24</v>
      </c>
      <c r="R7" s="16" t="s">
        <v>22</v>
      </c>
      <c r="S7" s="16" t="s">
        <v>23</v>
      </c>
      <c r="T7" s="16" t="s">
        <v>24</v>
      </c>
      <c r="U7" s="14" t="s">
        <v>22</v>
      </c>
      <c r="V7" s="14" t="s">
        <v>23</v>
      </c>
      <c r="W7" s="14" t="s">
        <v>24</v>
      </c>
      <c r="X7" s="17" t="s">
        <v>22</v>
      </c>
      <c r="Y7" s="17" t="s">
        <v>23</v>
      </c>
      <c r="Z7" s="17" t="s">
        <v>24</v>
      </c>
      <c r="AA7" s="18" t="s">
        <v>22</v>
      </c>
      <c r="AB7" s="18" t="s">
        <v>23</v>
      </c>
      <c r="AC7" s="18" t="s">
        <v>24</v>
      </c>
      <c r="AD7" s="19" t="s">
        <v>22</v>
      </c>
      <c r="AE7" s="19" t="s">
        <v>23</v>
      </c>
      <c r="AF7" s="19" t="s">
        <v>24</v>
      </c>
      <c r="AG7" s="16" t="s">
        <v>22</v>
      </c>
      <c r="AH7" s="16" t="s">
        <v>23</v>
      </c>
      <c r="AI7" s="16" t="s">
        <v>24</v>
      </c>
      <c r="AJ7" s="18" t="s">
        <v>22</v>
      </c>
      <c r="AK7" s="18" t="s">
        <v>23</v>
      </c>
      <c r="AL7" s="18" t="s">
        <v>24</v>
      </c>
      <c r="AM7" s="20" t="s">
        <v>22</v>
      </c>
      <c r="AN7" s="20" t="s">
        <v>23</v>
      </c>
      <c r="AO7" s="20" t="s">
        <v>24</v>
      </c>
      <c r="AP7" s="20" t="s">
        <v>22</v>
      </c>
      <c r="AQ7" s="20" t="s">
        <v>23</v>
      </c>
      <c r="AR7" s="20" t="s">
        <v>24</v>
      </c>
      <c r="AS7" s="21" t="s">
        <v>22</v>
      </c>
      <c r="AT7" s="21" t="s">
        <v>23</v>
      </c>
      <c r="AU7" s="21" t="s">
        <v>24</v>
      </c>
      <c r="AV7" s="21" t="s">
        <v>22</v>
      </c>
      <c r="AW7" s="21" t="s">
        <v>23</v>
      </c>
      <c r="AX7" s="21" t="s">
        <v>24</v>
      </c>
      <c r="AY7" s="22" t="s">
        <v>22</v>
      </c>
      <c r="AZ7" s="22" t="s">
        <v>23</v>
      </c>
      <c r="BA7" s="22" t="s">
        <v>24</v>
      </c>
      <c r="BB7" s="21" t="s">
        <v>22</v>
      </c>
      <c r="BC7" s="21" t="s">
        <v>23</v>
      </c>
      <c r="BD7" s="21" t="s">
        <v>24</v>
      </c>
      <c r="BE7" s="23" t="s">
        <v>22</v>
      </c>
      <c r="BF7" s="23" t="s">
        <v>23</v>
      </c>
      <c r="BG7" s="23" t="s">
        <v>24</v>
      </c>
      <c r="BH7" s="24" t="s">
        <v>22</v>
      </c>
      <c r="BI7" s="24" t="s">
        <v>23</v>
      </c>
      <c r="BJ7" s="24" t="s">
        <v>24</v>
      </c>
      <c r="BK7" s="25" t="s">
        <v>22</v>
      </c>
      <c r="BL7" s="25" t="s">
        <v>23</v>
      </c>
      <c r="BM7" s="25" t="s">
        <v>24</v>
      </c>
      <c r="BN7" s="26" t="s">
        <v>22</v>
      </c>
      <c r="BO7" s="26" t="s">
        <v>23</v>
      </c>
      <c r="BP7" s="26" t="s">
        <v>24</v>
      </c>
      <c r="BQ7" s="27"/>
    </row>
    <row r="8" spans="1:69" s="49" customFormat="1" ht="30" customHeight="1" x14ac:dyDescent="0.2">
      <c r="A8" s="28">
        <v>1</v>
      </c>
      <c r="B8" s="29" t="s">
        <v>25</v>
      </c>
      <c r="C8" s="30">
        <v>31</v>
      </c>
      <c r="D8" s="30">
        <v>31</v>
      </c>
      <c r="E8" s="30">
        <f t="shared" ref="E8:E16" si="0">C8+D8</f>
        <v>62</v>
      </c>
      <c r="F8" s="31">
        <f>1+7+2+1+3+4+1+3+7+9</f>
        <v>38</v>
      </c>
      <c r="G8" s="31">
        <f>2+7+2+5+3+1+5+7+6+5</f>
        <v>43</v>
      </c>
      <c r="H8" s="31">
        <f t="shared" ref="H8:H16" si="1">F8+G8</f>
        <v>81</v>
      </c>
      <c r="I8" s="32">
        <f>0+7+4+3+3+15+17+10+2+8</f>
        <v>69</v>
      </c>
      <c r="J8" s="32">
        <f>0+6+9+4+7+14+11+22+8+6</f>
        <v>87</v>
      </c>
      <c r="K8" s="32">
        <f t="shared" ref="K8:K16" si="2">I8+J8</f>
        <v>156</v>
      </c>
      <c r="L8" s="32">
        <f>C8+F8+I8</f>
        <v>138</v>
      </c>
      <c r="M8" s="32">
        <f>D8+G8+J8</f>
        <v>161</v>
      </c>
      <c r="N8" s="32">
        <f>E8+H8+K8</f>
        <v>299</v>
      </c>
      <c r="O8" s="33">
        <f>4+1+6+1+3+5+8+6+5</f>
        <v>39</v>
      </c>
      <c r="P8" s="33">
        <f>9+19+11+5+14+7+2+5+3</f>
        <v>75</v>
      </c>
      <c r="Q8" s="33">
        <f t="shared" ref="Q8:Q16" si="3">O8+P8</f>
        <v>114</v>
      </c>
      <c r="R8" s="34">
        <f t="shared" ref="R8:S15" si="4">L8+O8</f>
        <v>177</v>
      </c>
      <c r="S8" s="34">
        <f t="shared" si="4"/>
        <v>236</v>
      </c>
      <c r="T8" s="34">
        <f t="shared" ref="T8:T16" si="5">R8+S8</f>
        <v>413</v>
      </c>
      <c r="U8" s="35">
        <f>0+10+12+4+2+5+5+1+5</f>
        <v>44</v>
      </c>
      <c r="V8" s="35">
        <f>18+1+3+3+5+10+10+7</f>
        <v>57</v>
      </c>
      <c r="W8" s="35">
        <f t="shared" ref="W8:W16" si="6">U8+V8</f>
        <v>101</v>
      </c>
      <c r="X8" s="36">
        <f t="shared" ref="X8:Y15" si="7">R8+U8</f>
        <v>221</v>
      </c>
      <c r="Y8" s="36">
        <f t="shared" si="7"/>
        <v>293</v>
      </c>
      <c r="Z8" s="36">
        <f t="shared" ref="Z8:Z16" si="8">X8+Y8</f>
        <v>514</v>
      </c>
      <c r="AA8" s="37">
        <f>7+10+16+4+5+10+10+2+2+10</f>
        <v>76</v>
      </c>
      <c r="AB8" s="37">
        <f>8+10+10+6+20+15+10+10+10+20</f>
        <v>119</v>
      </c>
      <c r="AC8" s="37">
        <f>AA8+AB8</f>
        <v>195</v>
      </c>
      <c r="AD8" s="38">
        <f t="shared" ref="AD8:AE15" si="9">X8+AA8</f>
        <v>297</v>
      </c>
      <c r="AE8" s="38">
        <f t="shared" si="9"/>
        <v>412</v>
      </c>
      <c r="AF8" s="38">
        <f>AD8+AE8</f>
        <v>709</v>
      </c>
      <c r="AG8" s="39">
        <f>6+5+5+5+5+2+2+2+2+3</f>
        <v>37</v>
      </c>
      <c r="AH8" s="39">
        <f>4+5+1+2+2+2+2+2+1+2</f>
        <v>23</v>
      </c>
      <c r="AI8" s="39">
        <f t="shared" ref="AI8:AI15" si="10">AG8+AH8</f>
        <v>60</v>
      </c>
      <c r="AJ8" s="37">
        <f t="shared" ref="AJ8:AK15" si="11">AD8+AG8</f>
        <v>334</v>
      </c>
      <c r="AK8" s="37">
        <f t="shared" si="11"/>
        <v>435</v>
      </c>
      <c r="AL8" s="37">
        <f t="shared" ref="AL8:AL16" si="12">AJ8+AK8</f>
        <v>769</v>
      </c>
      <c r="AM8" s="40">
        <f>1+1+5+0+2+2+1</f>
        <v>12</v>
      </c>
      <c r="AN8" s="40">
        <f>2+1+7+10+6+5+10+6+10+9</f>
        <v>66</v>
      </c>
      <c r="AO8" s="40">
        <f>AM8+AN8</f>
        <v>78</v>
      </c>
      <c r="AP8" s="40">
        <f t="shared" ref="AP8:AQ15" si="13">AJ8+AM8</f>
        <v>346</v>
      </c>
      <c r="AQ8" s="40">
        <f t="shared" si="13"/>
        <v>501</v>
      </c>
      <c r="AR8" s="40">
        <f>AP8+AQ8</f>
        <v>847</v>
      </c>
      <c r="AS8" s="41">
        <f>1+2+4+5+3</f>
        <v>15</v>
      </c>
      <c r="AT8" s="41">
        <f>4+3+4+4+6+2+2+3+2</f>
        <v>30</v>
      </c>
      <c r="AU8" s="41">
        <f>AS8+AT8</f>
        <v>45</v>
      </c>
      <c r="AV8" s="41">
        <f>AP8+AS8</f>
        <v>361</v>
      </c>
      <c r="AW8" s="41">
        <f>AQ8+AT8</f>
        <v>531</v>
      </c>
      <c r="AX8" s="41">
        <f>SUM(AV8:AW8)</f>
        <v>892</v>
      </c>
      <c r="AY8" s="42">
        <f>2+3+2+3+7+3+2+2</f>
        <v>24</v>
      </c>
      <c r="AZ8" s="42">
        <f>4+2+6+2+3+3+2+2</f>
        <v>24</v>
      </c>
      <c r="BA8" s="42">
        <f t="shared" ref="BA8:BA15" si="14">AY8+AZ8</f>
        <v>48</v>
      </c>
      <c r="BB8" s="41">
        <f t="shared" ref="BB8:BC15" si="15">AV8+AY8</f>
        <v>385</v>
      </c>
      <c r="BC8" s="41">
        <f t="shared" si="15"/>
        <v>555</v>
      </c>
      <c r="BD8" s="41">
        <f t="shared" ref="BD8:BD16" si="16">BB8+BC8</f>
        <v>940</v>
      </c>
      <c r="BE8" s="43">
        <f>3+0+1+1</f>
        <v>5</v>
      </c>
      <c r="BF8" s="43">
        <f>7+1+1+3+2+2</f>
        <v>16</v>
      </c>
      <c r="BG8" s="43">
        <f>BE8+BF8</f>
        <v>21</v>
      </c>
      <c r="BH8" s="44">
        <f>1+8+5+8+7+8+10</f>
        <v>47</v>
      </c>
      <c r="BI8" s="45">
        <f>7+5+7+12+10+4+4</f>
        <v>49</v>
      </c>
      <c r="BJ8" s="45">
        <f t="shared" ref="BJ8:BJ15" si="17">BH8+BI8</f>
        <v>96</v>
      </c>
      <c r="BK8" s="46">
        <v>4</v>
      </c>
      <c r="BL8" s="46">
        <v>4</v>
      </c>
      <c r="BM8" s="46">
        <f t="shared" ref="BM8:BM15" si="18">BK8+BL8</f>
        <v>8</v>
      </c>
      <c r="BN8" s="47">
        <f t="shared" ref="BN8:BO15" si="19">C8+F8+I8+O8+U8+AA8+AG8+AY8+AM8+AS8+BE8+BH8+BK8</f>
        <v>441</v>
      </c>
      <c r="BO8" s="48">
        <f t="shared" si="19"/>
        <v>624</v>
      </c>
      <c r="BP8" s="48">
        <f>BN8+BO8</f>
        <v>1065</v>
      </c>
    </row>
    <row r="9" spans="1:69" s="49" customFormat="1" ht="30" customHeight="1" x14ac:dyDescent="0.2">
      <c r="A9" s="28">
        <v>2</v>
      </c>
      <c r="B9" s="29" t="s">
        <v>26</v>
      </c>
      <c r="C9" s="30">
        <v>3</v>
      </c>
      <c r="D9" s="30">
        <v>1</v>
      </c>
      <c r="E9" s="30">
        <f t="shared" si="0"/>
        <v>4</v>
      </c>
      <c r="F9" s="31">
        <f>6+7+3</f>
        <v>16</v>
      </c>
      <c r="G9" s="31">
        <f>5+3+4</f>
        <v>12</v>
      </c>
      <c r="H9" s="31">
        <f t="shared" si="1"/>
        <v>28</v>
      </c>
      <c r="I9" s="32">
        <f>0+4+2+8+1+7+1+4+1+4</f>
        <v>32</v>
      </c>
      <c r="J9" s="32">
        <f>0+1+3+2+6+3+6+4+5+5</f>
        <v>35</v>
      </c>
      <c r="K9" s="32">
        <f t="shared" si="2"/>
        <v>67</v>
      </c>
      <c r="L9" s="32">
        <f t="shared" ref="L9:N16" si="20">C9+F9+I9</f>
        <v>51</v>
      </c>
      <c r="M9" s="32">
        <f t="shared" si="20"/>
        <v>48</v>
      </c>
      <c r="N9" s="32">
        <f t="shared" si="20"/>
        <v>99</v>
      </c>
      <c r="O9" s="33">
        <f>2+1+2+6+6+9+4+7+11</f>
        <v>48</v>
      </c>
      <c r="P9" s="33">
        <f>4+4+4+4+9+11+11+13+14</f>
        <v>74</v>
      </c>
      <c r="Q9" s="33">
        <f t="shared" si="3"/>
        <v>122</v>
      </c>
      <c r="R9" s="34">
        <f t="shared" si="4"/>
        <v>99</v>
      </c>
      <c r="S9" s="34">
        <f t="shared" si="4"/>
        <v>122</v>
      </c>
      <c r="T9" s="34">
        <f t="shared" si="5"/>
        <v>221</v>
      </c>
      <c r="U9" s="35">
        <f>7+6+11+12+9+7+5+8+6</f>
        <v>71</v>
      </c>
      <c r="V9" s="35">
        <f>15+18+11+8+12+11+11+7+10</f>
        <v>103</v>
      </c>
      <c r="W9" s="35">
        <f>U9+V9</f>
        <v>174</v>
      </c>
      <c r="X9" s="36">
        <f t="shared" si="7"/>
        <v>170</v>
      </c>
      <c r="Y9" s="36">
        <f t="shared" si="7"/>
        <v>225</v>
      </c>
      <c r="Z9" s="36">
        <f t="shared" si="8"/>
        <v>395</v>
      </c>
      <c r="AA9" s="37">
        <f>6+9+2+5+6+3+6+4+5+3</f>
        <v>49</v>
      </c>
      <c r="AB9" s="37">
        <f>9+7+9+8+6+7+4+6+4+5</f>
        <v>65</v>
      </c>
      <c r="AC9" s="37">
        <f t="shared" ref="AC9:AC14" si="21">AA9+AB9</f>
        <v>114</v>
      </c>
      <c r="AD9" s="38">
        <f t="shared" si="9"/>
        <v>219</v>
      </c>
      <c r="AE9" s="38">
        <f t="shared" si="9"/>
        <v>290</v>
      </c>
      <c r="AF9" s="38">
        <f>AD9+AE9</f>
        <v>509</v>
      </c>
      <c r="AG9" s="39">
        <f>4+2+3+2+4+5+3+5+3+4</f>
        <v>35</v>
      </c>
      <c r="AH9" s="39">
        <f>3+6+7+5+4+4+6+5+6+4</f>
        <v>50</v>
      </c>
      <c r="AI9" s="39">
        <f t="shared" si="10"/>
        <v>85</v>
      </c>
      <c r="AJ9" s="37">
        <f t="shared" si="11"/>
        <v>254</v>
      </c>
      <c r="AK9" s="37">
        <f t="shared" si="11"/>
        <v>340</v>
      </c>
      <c r="AL9" s="37">
        <f t="shared" si="12"/>
        <v>594</v>
      </c>
      <c r="AM9" s="40">
        <f>3+0+6+1+1+2+2+1+5</f>
        <v>21</v>
      </c>
      <c r="AN9" s="40">
        <f>3+0+4+4+6+3+4+5+2</f>
        <v>31</v>
      </c>
      <c r="AO9" s="40">
        <f t="shared" ref="AO9:AO15" si="22">AM9+AN9</f>
        <v>52</v>
      </c>
      <c r="AP9" s="40">
        <f t="shared" si="13"/>
        <v>275</v>
      </c>
      <c r="AQ9" s="40">
        <f t="shared" si="13"/>
        <v>371</v>
      </c>
      <c r="AR9" s="40">
        <f t="shared" ref="AR9:AR16" si="23">AP9+AQ9</f>
        <v>646</v>
      </c>
      <c r="AS9" s="41">
        <f>2+4+1+3+6+3+3+5+4</f>
        <v>31</v>
      </c>
      <c r="AT9" s="41">
        <f>8+5+6+6+4+7+13+5+5</f>
        <v>59</v>
      </c>
      <c r="AU9" s="41">
        <f>AS9+AT9</f>
        <v>90</v>
      </c>
      <c r="AV9" s="41">
        <f t="shared" ref="AV9:AW15" si="24">AP9+AS9</f>
        <v>306</v>
      </c>
      <c r="AW9" s="41">
        <f t="shared" si="24"/>
        <v>430</v>
      </c>
      <c r="AX9" s="41">
        <f t="shared" ref="AX9:AX16" si="25">SUM(AV9:AW9)</f>
        <v>736</v>
      </c>
      <c r="AY9" s="42">
        <f>4+4+6+5+2+5+5+1</f>
        <v>32</v>
      </c>
      <c r="AZ9" s="42">
        <f>6+6+4+5+8+5+5+12</f>
        <v>51</v>
      </c>
      <c r="BA9" s="42">
        <f t="shared" si="14"/>
        <v>83</v>
      </c>
      <c r="BB9" s="41">
        <f t="shared" si="15"/>
        <v>338</v>
      </c>
      <c r="BC9" s="41">
        <f t="shared" si="15"/>
        <v>481</v>
      </c>
      <c r="BD9" s="41">
        <f t="shared" si="16"/>
        <v>819</v>
      </c>
      <c r="BE9" s="43">
        <f>5+1+3+4+3+0+2+3+2+3</f>
        <v>26</v>
      </c>
      <c r="BF9" s="43">
        <f>2+4+2+1+2+3+5+1</f>
        <v>20</v>
      </c>
      <c r="BG9" s="43">
        <f t="shared" ref="BG9:BG15" si="26">BE9+BF9</f>
        <v>46</v>
      </c>
      <c r="BH9" s="45">
        <f>2+1+1+1+1+1</f>
        <v>7</v>
      </c>
      <c r="BI9" s="45">
        <f>2+1+1</f>
        <v>4</v>
      </c>
      <c r="BJ9" s="45">
        <f t="shared" si="17"/>
        <v>11</v>
      </c>
      <c r="BK9" s="46">
        <v>1</v>
      </c>
      <c r="BL9" s="46">
        <v>0</v>
      </c>
      <c r="BM9" s="46">
        <f t="shared" si="18"/>
        <v>1</v>
      </c>
      <c r="BN9" s="48">
        <f t="shared" si="19"/>
        <v>372</v>
      </c>
      <c r="BO9" s="48">
        <f t="shared" si="19"/>
        <v>505</v>
      </c>
      <c r="BP9" s="48">
        <f>BN9+BO9</f>
        <v>877</v>
      </c>
    </row>
    <row r="10" spans="1:69" s="49" customFormat="1" ht="30" customHeight="1" x14ac:dyDescent="0.2">
      <c r="A10" s="28">
        <v>3</v>
      </c>
      <c r="B10" s="29" t="s">
        <v>27</v>
      </c>
      <c r="C10" s="30">
        <v>4</v>
      </c>
      <c r="D10" s="30">
        <v>2</v>
      </c>
      <c r="E10" s="30">
        <f t="shared" si="0"/>
        <v>6</v>
      </c>
      <c r="F10" s="31">
        <f>7+20+3+3</f>
        <v>33</v>
      </c>
      <c r="G10" s="31">
        <f>17+14+10+2</f>
        <v>43</v>
      </c>
      <c r="H10" s="31">
        <f t="shared" si="1"/>
        <v>76</v>
      </c>
      <c r="I10" s="32">
        <f>0+10+5+5+3+6+3+1+10+6</f>
        <v>49</v>
      </c>
      <c r="J10" s="32">
        <f>0+6+6+8+1+1+9+23</f>
        <v>54</v>
      </c>
      <c r="K10" s="32">
        <f t="shared" si="2"/>
        <v>103</v>
      </c>
      <c r="L10" s="32">
        <f t="shared" si="20"/>
        <v>86</v>
      </c>
      <c r="M10" s="32">
        <f t="shared" si="20"/>
        <v>99</v>
      </c>
      <c r="N10" s="32">
        <f t="shared" si="20"/>
        <v>185</v>
      </c>
      <c r="O10" s="33">
        <f>7+9+9+6+3+6+15+18+8</f>
        <v>81</v>
      </c>
      <c r="P10" s="33">
        <f>16+12+6+9+19+7+2+1+14</f>
        <v>86</v>
      </c>
      <c r="Q10" s="33">
        <f t="shared" si="3"/>
        <v>167</v>
      </c>
      <c r="R10" s="34">
        <f t="shared" si="4"/>
        <v>167</v>
      </c>
      <c r="S10" s="34">
        <f t="shared" si="4"/>
        <v>185</v>
      </c>
      <c r="T10" s="34">
        <f t="shared" si="5"/>
        <v>352</v>
      </c>
      <c r="U10" s="35">
        <f>20+4+12+18+10+1+2+3</f>
        <v>70</v>
      </c>
      <c r="V10" s="35">
        <f>2+17+9+1+3+8+5+6</f>
        <v>51</v>
      </c>
      <c r="W10" s="35">
        <f t="shared" si="6"/>
        <v>121</v>
      </c>
      <c r="X10" s="36">
        <f t="shared" si="7"/>
        <v>237</v>
      </c>
      <c r="Y10" s="36">
        <f t="shared" si="7"/>
        <v>236</v>
      </c>
      <c r="Z10" s="36">
        <f t="shared" si="8"/>
        <v>473</v>
      </c>
      <c r="AA10" s="37">
        <f>9+20+10+21</f>
        <v>60</v>
      </c>
      <c r="AB10" s="37">
        <f>6+20+4+0</f>
        <v>30</v>
      </c>
      <c r="AC10" s="37">
        <f t="shared" si="21"/>
        <v>90</v>
      </c>
      <c r="AD10" s="38">
        <f t="shared" si="9"/>
        <v>297</v>
      </c>
      <c r="AE10" s="38">
        <f t="shared" si="9"/>
        <v>266</v>
      </c>
      <c r="AF10" s="38">
        <f t="shared" ref="AF10:AF15" si="27">AE10+AD10</f>
        <v>563</v>
      </c>
      <c r="AG10" s="39">
        <f>6+6+12+6+19+23+17+23+31+23</f>
        <v>166</v>
      </c>
      <c r="AH10" s="39">
        <f>0+7+5+5+20+18+32+30+25+21</f>
        <v>163</v>
      </c>
      <c r="AI10" s="39">
        <f t="shared" si="10"/>
        <v>329</v>
      </c>
      <c r="AJ10" s="37">
        <f t="shared" si="11"/>
        <v>463</v>
      </c>
      <c r="AK10" s="37">
        <f t="shared" si="11"/>
        <v>429</v>
      </c>
      <c r="AL10" s="37">
        <f t="shared" si="12"/>
        <v>892</v>
      </c>
      <c r="AM10" s="40">
        <f>10+6+5+2+3+6+6+2+6+4</f>
        <v>50</v>
      </c>
      <c r="AN10" s="40">
        <f>11+5+5+4+4+1+3+5+2+3</f>
        <v>43</v>
      </c>
      <c r="AO10" s="40">
        <f t="shared" si="22"/>
        <v>93</v>
      </c>
      <c r="AP10" s="40">
        <f t="shared" si="13"/>
        <v>513</v>
      </c>
      <c r="AQ10" s="40">
        <f t="shared" si="13"/>
        <v>472</v>
      </c>
      <c r="AR10" s="40">
        <f t="shared" si="23"/>
        <v>985</v>
      </c>
      <c r="AS10" s="41">
        <f>6+6+2+2+2+2+1+1</f>
        <v>22</v>
      </c>
      <c r="AT10" s="41">
        <f>5+1+4+4+3+1+2+2</f>
        <v>22</v>
      </c>
      <c r="AU10" s="41">
        <f t="shared" ref="AU10:AU15" si="28">AT10+AS10</f>
        <v>44</v>
      </c>
      <c r="AV10" s="41">
        <f t="shared" si="24"/>
        <v>535</v>
      </c>
      <c r="AW10" s="41">
        <f t="shared" si="24"/>
        <v>494</v>
      </c>
      <c r="AX10" s="41">
        <f t="shared" si="25"/>
        <v>1029</v>
      </c>
      <c r="AY10" s="42">
        <f>1+1+0+0</f>
        <v>2</v>
      </c>
      <c r="AZ10" s="42">
        <f>2+1+0+0</f>
        <v>3</v>
      </c>
      <c r="BA10" s="42">
        <f t="shared" si="14"/>
        <v>5</v>
      </c>
      <c r="BB10" s="41">
        <f t="shared" si="15"/>
        <v>537</v>
      </c>
      <c r="BC10" s="41">
        <f t="shared" si="15"/>
        <v>497</v>
      </c>
      <c r="BD10" s="41">
        <f t="shared" si="16"/>
        <v>1034</v>
      </c>
      <c r="BE10" s="43">
        <f>3+6+0+3</f>
        <v>12</v>
      </c>
      <c r="BF10" s="43">
        <f>0+1+4+0+0</f>
        <v>5</v>
      </c>
      <c r="BG10" s="43">
        <f t="shared" si="26"/>
        <v>17</v>
      </c>
      <c r="BH10" s="45">
        <f>0+0+1+1+2+2</f>
        <v>6</v>
      </c>
      <c r="BI10" s="45">
        <f>1+2+1+3+3</f>
        <v>10</v>
      </c>
      <c r="BJ10" s="45">
        <f t="shared" si="17"/>
        <v>16</v>
      </c>
      <c r="BK10" s="46">
        <v>2</v>
      </c>
      <c r="BL10" s="46">
        <v>1</v>
      </c>
      <c r="BM10" s="46">
        <f t="shared" si="18"/>
        <v>3</v>
      </c>
      <c r="BN10" s="48">
        <f t="shared" si="19"/>
        <v>557</v>
      </c>
      <c r="BO10" s="48">
        <f t="shared" si="19"/>
        <v>513</v>
      </c>
      <c r="BP10" s="48">
        <f t="shared" ref="BP10:BP15" si="29">BN10+BO10</f>
        <v>1070</v>
      </c>
    </row>
    <row r="11" spans="1:69" s="49" customFormat="1" ht="30" customHeight="1" x14ac:dyDescent="0.2">
      <c r="A11" s="28">
        <v>4</v>
      </c>
      <c r="B11" s="29" t="s">
        <v>28</v>
      </c>
      <c r="C11" s="30">
        <v>19</v>
      </c>
      <c r="D11" s="30">
        <v>13</v>
      </c>
      <c r="E11" s="30">
        <f>C11+D11</f>
        <v>32</v>
      </c>
      <c r="F11" s="31">
        <f>1+6+1+1+2+1+3+4</f>
        <v>19</v>
      </c>
      <c r="G11" s="31">
        <f>3+2+1+2+3+1+3+2+2</f>
        <v>19</v>
      </c>
      <c r="H11" s="31">
        <f t="shared" si="1"/>
        <v>38</v>
      </c>
      <c r="I11" s="32">
        <f>0+1+3+6+6+2+5+8+9+5</f>
        <v>45</v>
      </c>
      <c r="J11" s="32">
        <f>0+3+2+3+9+4+1+5+12+5</f>
        <v>44</v>
      </c>
      <c r="K11" s="32">
        <f t="shared" si="2"/>
        <v>89</v>
      </c>
      <c r="L11" s="32">
        <f t="shared" si="20"/>
        <v>83</v>
      </c>
      <c r="M11" s="32">
        <f t="shared" si="20"/>
        <v>76</v>
      </c>
      <c r="N11" s="32">
        <f t="shared" si="20"/>
        <v>159</v>
      </c>
      <c r="O11" s="33">
        <f>6+10+5+2+6+8+15+17+17</f>
        <v>86</v>
      </c>
      <c r="P11" s="33">
        <f>7+10+4+3+5+6+17+16+19</f>
        <v>87</v>
      </c>
      <c r="Q11" s="33">
        <f t="shared" si="3"/>
        <v>173</v>
      </c>
      <c r="R11" s="34">
        <f t="shared" si="4"/>
        <v>169</v>
      </c>
      <c r="S11" s="34">
        <f t="shared" si="4"/>
        <v>163</v>
      </c>
      <c r="T11" s="34">
        <f t="shared" si="5"/>
        <v>332</v>
      </c>
      <c r="U11" s="35">
        <f>15+21+17+9+11+14+10+20+16</f>
        <v>133</v>
      </c>
      <c r="V11" s="35">
        <f>23+32+22+13+14+18+14+12+12</f>
        <v>160</v>
      </c>
      <c r="W11" s="35">
        <f t="shared" si="6"/>
        <v>293</v>
      </c>
      <c r="X11" s="36">
        <f t="shared" si="7"/>
        <v>302</v>
      </c>
      <c r="Y11" s="36">
        <f t="shared" si="7"/>
        <v>323</v>
      </c>
      <c r="Z11" s="36">
        <f t="shared" si="8"/>
        <v>625</v>
      </c>
      <c r="AA11" s="37">
        <f>23+8+2+5+5+8+1+1+1</f>
        <v>54</v>
      </c>
      <c r="AB11" s="37">
        <f>31+17+11+6+5+7+5+4+3</f>
        <v>89</v>
      </c>
      <c r="AC11" s="37">
        <f t="shared" si="21"/>
        <v>143</v>
      </c>
      <c r="AD11" s="38">
        <f t="shared" si="9"/>
        <v>356</v>
      </c>
      <c r="AE11" s="38">
        <f t="shared" si="9"/>
        <v>412</v>
      </c>
      <c r="AF11" s="38">
        <f t="shared" si="27"/>
        <v>768</v>
      </c>
      <c r="AG11" s="39">
        <f>2+7+5+8+3+7+3+6+2+7</f>
        <v>50</v>
      </c>
      <c r="AH11" s="39">
        <f>3+4+2+5+2+2+3+5+4</f>
        <v>30</v>
      </c>
      <c r="AI11" s="39">
        <f t="shared" si="10"/>
        <v>80</v>
      </c>
      <c r="AJ11" s="37">
        <f t="shared" si="11"/>
        <v>406</v>
      </c>
      <c r="AK11" s="37">
        <f t="shared" si="11"/>
        <v>442</v>
      </c>
      <c r="AL11" s="37">
        <f t="shared" si="12"/>
        <v>848</v>
      </c>
      <c r="AM11" s="40">
        <f>3+6+6+10+6+6+2+2+2</f>
        <v>43</v>
      </c>
      <c r="AN11" s="40">
        <f>10+6+12+11+17+17+9+6+7+5</f>
        <v>100</v>
      </c>
      <c r="AO11" s="40">
        <f t="shared" si="22"/>
        <v>143</v>
      </c>
      <c r="AP11" s="40">
        <f t="shared" si="13"/>
        <v>449</v>
      </c>
      <c r="AQ11" s="40">
        <f t="shared" si="13"/>
        <v>542</v>
      </c>
      <c r="AR11" s="40">
        <f t="shared" si="23"/>
        <v>991</v>
      </c>
      <c r="AS11" s="41">
        <f>2+4+5+5+5+2+3+2</f>
        <v>28</v>
      </c>
      <c r="AT11" s="41">
        <f>3+2+3+6+2+3+2+3</f>
        <v>24</v>
      </c>
      <c r="AU11" s="41">
        <f t="shared" si="28"/>
        <v>52</v>
      </c>
      <c r="AV11" s="41">
        <f t="shared" si="24"/>
        <v>477</v>
      </c>
      <c r="AW11" s="41">
        <f t="shared" si="24"/>
        <v>566</v>
      </c>
      <c r="AX11" s="41">
        <f t="shared" si="25"/>
        <v>1043</v>
      </c>
      <c r="AY11" s="42">
        <f>1+2+1+1+2</f>
        <v>7</v>
      </c>
      <c r="AZ11" s="42">
        <f>1+2+2+2+1+1+1+0</f>
        <v>10</v>
      </c>
      <c r="BA11" s="42">
        <f>AY11+AZ11</f>
        <v>17</v>
      </c>
      <c r="BB11" s="41">
        <f t="shared" si="15"/>
        <v>484</v>
      </c>
      <c r="BC11" s="41">
        <f t="shared" si="15"/>
        <v>576</v>
      </c>
      <c r="BD11" s="41">
        <f t="shared" si="16"/>
        <v>1060</v>
      </c>
      <c r="BE11" s="43">
        <f>0+2+1+3+1+0</f>
        <v>7</v>
      </c>
      <c r="BF11" s="43">
        <f>1+1+3+1+1</f>
        <v>7</v>
      </c>
      <c r="BG11" s="43">
        <f t="shared" si="26"/>
        <v>14</v>
      </c>
      <c r="BH11" s="45">
        <f>0+2+1+2+1+3</f>
        <v>9</v>
      </c>
      <c r="BI11" s="45">
        <f>0+0+1+1</f>
        <v>2</v>
      </c>
      <c r="BJ11" s="45">
        <f t="shared" si="17"/>
        <v>11</v>
      </c>
      <c r="BK11" s="46">
        <v>3</v>
      </c>
      <c r="BL11" s="46">
        <v>0</v>
      </c>
      <c r="BM11" s="46">
        <f t="shared" si="18"/>
        <v>3</v>
      </c>
      <c r="BN11" s="48">
        <f t="shared" si="19"/>
        <v>503</v>
      </c>
      <c r="BO11" s="48">
        <f t="shared" si="19"/>
        <v>585</v>
      </c>
      <c r="BP11" s="48">
        <f t="shared" si="29"/>
        <v>1088</v>
      </c>
    </row>
    <row r="12" spans="1:69" s="49" customFormat="1" ht="30" customHeight="1" x14ac:dyDescent="0.2">
      <c r="A12" s="28">
        <v>5</v>
      </c>
      <c r="B12" s="29" t="s">
        <v>29</v>
      </c>
      <c r="C12" s="30">
        <v>13</v>
      </c>
      <c r="D12" s="30">
        <v>8</v>
      </c>
      <c r="E12" s="30">
        <f t="shared" si="0"/>
        <v>21</v>
      </c>
      <c r="F12" s="31">
        <f>7+3+4+7+5+7+1+1+12</f>
        <v>47</v>
      </c>
      <c r="G12" s="31">
        <f>8+4+4+6+7+4+1+2+5</f>
        <v>41</v>
      </c>
      <c r="H12" s="31">
        <f t="shared" si="1"/>
        <v>88</v>
      </c>
      <c r="I12" s="32">
        <f>0+3+8+3+3+5+3+4+2+5</f>
        <v>36</v>
      </c>
      <c r="J12" s="32">
        <f>0+4+9+2+8+5+4+4+5+3</f>
        <v>44</v>
      </c>
      <c r="K12" s="32">
        <f t="shared" si="2"/>
        <v>80</v>
      </c>
      <c r="L12" s="32">
        <f t="shared" si="20"/>
        <v>96</v>
      </c>
      <c r="M12" s="32">
        <f t="shared" si="20"/>
        <v>93</v>
      </c>
      <c r="N12" s="32">
        <f t="shared" si="20"/>
        <v>189</v>
      </c>
      <c r="O12" s="33">
        <f>3+4+5+4+4+6+5+4+8</f>
        <v>43</v>
      </c>
      <c r="P12" s="33">
        <f>4+4+3+6+5+4+5+8+8</f>
        <v>47</v>
      </c>
      <c r="Q12" s="33">
        <f t="shared" si="3"/>
        <v>90</v>
      </c>
      <c r="R12" s="34">
        <f t="shared" si="4"/>
        <v>139</v>
      </c>
      <c r="S12" s="34">
        <f t="shared" si="4"/>
        <v>140</v>
      </c>
      <c r="T12" s="34">
        <f t="shared" si="5"/>
        <v>279</v>
      </c>
      <c r="U12" s="35">
        <f>10+11+8+8+6+7+8+13+11</f>
        <v>82</v>
      </c>
      <c r="V12" s="35">
        <f>5+4+9+7+11+8+10+12+12</f>
        <v>78</v>
      </c>
      <c r="W12" s="35">
        <f t="shared" si="6"/>
        <v>160</v>
      </c>
      <c r="X12" s="36">
        <f t="shared" si="7"/>
        <v>221</v>
      </c>
      <c r="Y12" s="36">
        <f t="shared" si="7"/>
        <v>218</v>
      </c>
      <c r="Z12" s="36">
        <f t="shared" si="8"/>
        <v>439</v>
      </c>
      <c r="AA12" s="37">
        <f>11+13+9+11+11+9+8+7+7+7</f>
        <v>93</v>
      </c>
      <c r="AB12" s="37">
        <f>12+13+13+10+13+8+8+9+8+8</f>
        <v>102</v>
      </c>
      <c r="AC12" s="37">
        <f t="shared" si="21"/>
        <v>195</v>
      </c>
      <c r="AD12" s="38">
        <f t="shared" si="9"/>
        <v>314</v>
      </c>
      <c r="AE12" s="38">
        <f t="shared" si="9"/>
        <v>320</v>
      </c>
      <c r="AF12" s="38">
        <f t="shared" si="27"/>
        <v>634</v>
      </c>
      <c r="AG12" s="39">
        <f>12+7+4+7+7+7+6+6+9+6</f>
        <v>71</v>
      </c>
      <c r="AH12" s="39">
        <f>3+7+10+6+6+7+7+7+9+9</f>
        <v>71</v>
      </c>
      <c r="AI12" s="39">
        <f t="shared" si="10"/>
        <v>142</v>
      </c>
      <c r="AJ12" s="37">
        <f t="shared" si="11"/>
        <v>385</v>
      </c>
      <c r="AK12" s="37">
        <f t="shared" si="11"/>
        <v>391</v>
      </c>
      <c r="AL12" s="37">
        <f t="shared" si="12"/>
        <v>776</v>
      </c>
      <c r="AM12" s="40">
        <f>10+8+6+5+4+5+4+5+5+5</f>
        <v>57</v>
      </c>
      <c r="AN12" s="40">
        <f>10+7+6+6+7+7+5+5+5+5</f>
        <v>63</v>
      </c>
      <c r="AO12" s="40">
        <f t="shared" si="22"/>
        <v>120</v>
      </c>
      <c r="AP12" s="40">
        <f t="shared" si="13"/>
        <v>442</v>
      </c>
      <c r="AQ12" s="40">
        <f t="shared" si="13"/>
        <v>454</v>
      </c>
      <c r="AR12" s="40">
        <f t="shared" si="23"/>
        <v>896</v>
      </c>
      <c r="AS12" s="41">
        <f>4+3+4+3+2+3+3+2+2</f>
        <v>26</v>
      </c>
      <c r="AT12" s="41">
        <f>4+5+5+2+2+2+3+3+3</f>
        <v>29</v>
      </c>
      <c r="AU12" s="41">
        <f t="shared" si="28"/>
        <v>55</v>
      </c>
      <c r="AV12" s="41">
        <f t="shared" si="24"/>
        <v>468</v>
      </c>
      <c r="AW12" s="41">
        <f t="shared" si="24"/>
        <v>483</v>
      </c>
      <c r="AX12" s="41">
        <f t="shared" si="25"/>
        <v>951</v>
      </c>
      <c r="AY12" s="42">
        <f>1+1+1+2+1+1+1</f>
        <v>8</v>
      </c>
      <c r="AZ12" s="42">
        <f>1+2+1+1+1+1+1+1</f>
        <v>9</v>
      </c>
      <c r="BA12" s="42">
        <f t="shared" si="14"/>
        <v>17</v>
      </c>
      <c r="BB12" s="41">
        <f t="shared" si="15"/>
        <v>476</v>
      </c>
      <c r="BC12" s="41">
        <f t="shared" si="15"/>
        <v>492</v>
      </c>
      <c r="BD12" s="41">
        <f t="shared" si="16"/>
        <v>968</v>
      </c>
      <c r="BE12" s="43">
        <f>2+1+1+1+1+1+1</f>
        <v>8</v>
      </c>
      <c r="BF12" s="43">
        <f>1+1+1+1+1+2+1+1+2</f>
        <v>11</v>
      </c>
      <c r="BG12" s="43">
        <f t="shared" si="26"/>
        <v>19</v>
      </c>
      <c r="BH12" s="45">
        <f>1+0+3+1+1</f>
        <v>6</v>
      </c>
      <c r="BI12" s="45">
        <f>0+1+1</f>
        <v>2</v>
      </c>
      <c r="BJ12" s="45">
        <f>BH12+BI12</f>
        <v>8</v>
      </c>
      <c r="BK12" s="46">
        <v>1</v>
      </c>
      <c r="BL12" s="46">
        <v>2</v>
      </c>
      <c r="BM12" s="46">
        <f t="shared" si="18"/>
        <v>3</v>
      </c>
      <c r="BN12" s="48">
        <f t="shared" si="19"/>
        <v>491</v>
      </c>
      <c r="BO12" s="48">
        <f t="shared" si="19"/>
        <v>507</v>
      </c>
      <c r="BP12" s="48">
        <f t="shared" si="29"/>
        <v>998</v>
      </c>
    </row>
    <row r="13" spans="1:69" s="49" customFormat="1" ht="30" customHeight="1" x14ac:dyDescent="0.2">
      <c r="A13" s="28">
        <v>6</v>
      </c>
      <c r="B13" s="29" t="s">
        <v>30</v>
      </c>
      <c r="C13" s="30">
        <v>8</v>
      </c>
      <c r="D13" s="30">
        <v>7</v>
      </c>
      <c r="E13" s="30">
        <f t="shared" si="0"/>
        <v>15</v>
      </c>
      <c r="F13" s="31">
        <f>2+1+1+1+1+1+10</f>
        <v>17</v>
      </c>
      <c r="G13" s="31">
        <f>3+4+1+1+1+17</f>
        <v>27</v>
      </c>
      <c r="H13" s="31">
        <f t="shared" si="1"/>
        <v>44</v>
      </c>
      <c r="I13" s="32">
        <f>0+22+6+1+2+17+11+8+13+7</f>
        <v>87</v>
      </c>
      <c r="J13" s="32">
        <f>0+8+9+13+4+1+8+5+13+8</f>
        <v>69</v>
      </c>
      <c r="K13" s="32">
        <f t="shared" si="2"/>
        <v>156</v>
      </c>
      <c r="L13" s="32">
        <f t="shared" si="20"/>
        <v>112</v>
      </c>
      <c r="M13" s="32">
        <f t="shared" si="20"/>
        <v>103</v>
      </c>
      <c r="N13" s="32">
        <f t="shared" si="20"/>
        <v>215</v>
      </c>
      <c r="O13" s="33">
        <f>5+6+4+7+3+5+11+10</f>
        <v>51</v>
      </c>
      <c r="P13" s="33">
        <f>6+10+6+15+3+7+6+9+10</f>
        <v>72</v>
      </c>
      <c r="Q13" s="33">
        <f t="shared" si="3"/>
        <v>123</v>
      </c>
      <c r="R13" s="34">
        <f t="shared" si="4"/>
        <v>163</v>
      </c>
      <c r="S13" s="34">
        <f t="shared" si="4"/>
        <v>175</v>
      </c>
      <c r="T13" s="34">
        <f t="shared" si="5"/>
        <v>338</v>
      </c>
      <c r="U13" s="35">
        <f>15+8+8+13+8+16+15+19+5</f>
        <v>107</v>
      </c>
      <c r="V13" s="35">
        <f>15+7+5+10+12+16+15+10+10</f>
        <v>100</v>
      </c>
      <c r="W13" s="35">
        <f t="shared" si="6"/>
        <v>207</v>
      </c>
      <c r="X13" s="36">
        <f t="shared" si="7"/>
        <v>270</v>
      </c>
      <c r="Y13" s="36">
        <f t="shared" si="7"/>
        <v>275</v>
      </c>
      <c r="Z13" s="36">
        <f t="shared" si="8"/>
        <v>545</v>
      </c>
      <c r="AA13" s="37">
        <f>8+10+8+6+4+4+10+5+5+5</f>
        <v>65</v>
      </c>
      <c r="AB13" s="37">
        <f>12+12+8+4+3+6+15+9+4+5</f>
        <v>78</v>
      </c>
      <c r="AC13" s="37">
        <f t="shared" si="21"/>
        <v>143</v>
      </c>
      <c r="AD13" s="38">
        <f t="shared" si="9"/>
        <v>335</v>
      </c>
      <c r="AE13" s="38">
        <f t="shared" si="9"/>
        <v>353</v>
      </c>
      <c r="AF13" s="38">
        <f t="shared" si="27"/>
        <v>688</v>
      </c>
      <c r="AG13" s="39">
        <f>4+5+7+5+6+6+7+14+15+6</f>
        <v>75</v>
      </c>
      <c r="AH13" s="39">
        <f>6+10+7+7+10+4+8+18+14+5</f>
        <v>89</v>
      </c>
      <c r="AI13" s="39">
        <f t="shared" si="10"/>
        <v>164</v>
      </c>
      <c r="AJ13" s="37">
        <f t="shared" si="11"/>
        <v>410</v>
      </c>
      <c r="AK13" s="37">
        <f t="shared" si="11"/>
        <v>442</v>
      </c>
      <c r="AL13" s="37">
        <f t="shared" si="12"/>
        <v>852</v>
      </c>
      <c r="AM13" s="40">
        <f>5+7+6+4+9+10+3+4+6+4</f>
        <v>58</v>
      </c>
      <c r="AN13" s="40">
        <f>5+8+6+3+7+10+7+3+4+5</f>
        <v>58</v>
      </c>
      <c r="AO13" s="40">
        <f t="shared" si="22"/>
        <v>116</v>
      </c>
      <c r="AP13" s="40">
        <f t="shared" si="13"/>
        <v>468</v>
      </c>
      <c r="AQ13" s="40">
        <f t="shared" si="13"/>
        <v>500</v>
      </c>
      <c r="AR13" s="40">
        <f t="shared" si="23"/>
        <v>968</v>
      </c>
      <c r="AS13" s="41">
        <f>3+5+2+1+1+1+1</f>
        <v>14</v>
      </c>
      <c r="AT13" s="41">
        <f>2+3+3+2+1+1+2</f>
        <v>14</v>
      </c>
      <c r="AU13" s="41">
        <f t="shared" si="28"/>
        <v>28</v>
      </c>
      <c r="AV13" s="41">
        <f t="shared" si="24"/>
        <v>482</v>
      </c>
      <c r="AW13" s="41">
        <f t="shared" si="24"/>
        <v>514</v>
      </c>
      <c r="AX13" s="41">
        <f t="shared" si="25"/>
        <v>996</v>
      </c>
      <c r="AY13" s="42">
        <f>1+2+2+1+0+1</f>
        <v>7</v>
      </c>
      <c r="AZ13" s="42">
        <f>1+0+2+2+0+0</f>
        <v>5</v>
      </c>
      <c r="BA13" s="42">
        <f t="shared" si="14"/>
        <v>12</v>
      </c>
      <c r="BB13" s="41">
        <f t="shared" si="15"/>
        <v>489</v>
      </c>
      <c r="BC13" s="41">
        <f t="shared" si="15"/>
        <v>519</v>
      </c>
      <c r="BD13" s="41">
        <f t="shared" si="16"/>
        <v>1008</v>
      </c>
      <c r="BE13" s="43">
        <f>1+2+2+1+1+0+1+1+1</f>
        <v>10</v>
      </c>
      <c r="BF13" s="43">
        <f>1+2+1+1+2+3+1</f>
        <v>11</v>
      </c>
      <c r="BG13" s="43">
        <f t="shared" si="26"/>
        <v>21</v>
      </c>
      <c r="BH13" s="45">
        <f>1+0+1+1+12+15</f>
        <v>30</v>
      </c>
      <c r="BI13" s="45">
        <f>0+1+5+1+2+13+7</f>
        <v>29</v>
      </c>
      <c r="BJ13" s="45">
        <f t="shared" si="17"/>
        <v>59</v>
      </c>
      <c r="BK13" s="46">
        <v>8</v>
      </c>
      <c r="BL13" s="46">
        <v>8</v>
      </c>
      <c r="BM13" s="46">
        <f t="shared" si="18"/>
        <v>16</v>
      </c>
      <c r="BN13" s="48">
        <f t="shared" si="19"/>
        <v>537</v>
      </c>
      <c r="BO13" s="48">
        <f t="shared" si="19"/>
        <v>567</v>
      </c>
      <c r="BP13" s="48">
        <f t="shared" si="29"/>
        <v>1104</v>
      </c>
    </row>
    <row r="14" spans="1:69" s="49" customFormat="1" ht="30" customHeight="1" x14ac:dyDescent="0.2">
      <c r="A14" s="28">
        <v>7</v>
      </c>
      <c r="B14" s="29" t="s">
        <v>31</v>
      </c>
      <c r="C14" s="30">
        <v>29</v>
      </c>
      <c r="D14" s="30">
        <v>63</v>
      </c>
      <c r="E14" s="30">
        <f t="shared" si="0"/>
        <v>92</v>
      </c>
      <c r="F14" s="31">
        <f>4+7+6+6+4+3+2+5+5</f>
        <v>42</v>
      </c>
      <c r="G14" s="31">
        <f>5+5+6+4+5+6+2+4+2+8</f>
        <v>47</v>
      </c>
      <c r="H14" s="31">
        <f t="shared" si="1"/>
        <v>89</v>
      </c>
      <c r="I14" s="32">
        <f>0+27+5+4+7+7+4+4+8+5</f>
        <v>71</v>
      </c>
      <c r="J14" s="32">
        <f>0+4+3+3+5+8+6+7+9+5</f>
        <v>50</v>
      </c>
      <c r="K14" s="32">
        <f t="shared" si="2"/>
        <v>121</v>
      </c>
      <c r="L14" s="32">
        <f t="shared" si="20"/>
        <v>142</v>
      </c>
      <c r="M14" s="32">
        <f t="shared" si="20"/>
        <v>160</v>
      </c>
      <c r="N14" s="32">
        <f t="shared" si="20"/>
        <v>302</v>
      </c>
      <c r="O14" s="33">
        <f>7+10+8+5+9+5+10+7</f>
        <v>61</v>
      </c>
      <c r="P14" s="33">
        <f>5+10+27+25+20+18+10+20+15</f>
        <v>150</v>
      </c>
      <c r="Q14" s="33">
        <f t="shared" si="3"/>
        <v>211</v>
      </c>
      <c r="R14" s="34">
        <f t="shared" si="4"/>
        <v>203</v>
      </c>
      <c r="S14" s="34">
        <f t="shared" si="4"/>
        <v>310</v>
      </c>
      <c r="T14" s="34">
        <f t="shared" si="5"/>
        <v>513</v>
      </c>
      <c r="U14" s="35">
        <f>8+4+8+11+5+4+5+15</f>
        <v>60</v>
      </c>
      <c r="V14" s="35">
        <f>12+16+10+15+12+7+14+15</f>
        <v>101</v>
      </c>
      <c r="W14" s="35">
        <f t="shared" si="6"/>
        <v>161</v>
      </c>
      <c r="X14" s="36">
        <f t="shared" si="7"/>
        <v>263</v>
      </c>
      <c r="Y14" s="36">
        <f t="shared" si="7"/>
        <v>411</v>
      </c>
      <c r="Z14" s="36">
        <f t="shared" si="8"/>
        <v>674</v>
      </c>
      <c r="AA14" s="37">
        <f>7+4+2+1+2+2+3+3+2+4</f>
        <v>30</v>
      </c>
      <c r="AB14" s="37">
        <f>1+8+5+2+3+3+3+3+3+3</f>
        <v>34</v>
      </c>
      <c r="AC14" s="37">
        <f t="shared" si="21"/>
        <v>64</v>
      </c>
      <c r="AD14" s="38">
        <f t="shared" si="9"/>
        <v>293</v>
      </c>
      <c r="AE14" s="38">
        <f t="shared" si="9"/>
        <v>445</v>
      </c>
      <c r="AF14" s="38">
        <f t="shared" si="27"/>
        <v>738</v>
      </c>
      <c r="AG14" s="39">
        <f>3+3+4+6+5+5+5+8+5+7</f>
        <v>51</v>
      </c>
      <c r="AH14" s="39">
        <f>2+4+5+4+5+5+7+7+7+5</f>
        <v>51</v>
      </c>
      <c r="AI14" s="39">
        <f t="shared" si="10"/>
        <v>102</v>
      </c>
      <c r="AJ14" s="37">
        <f t="shared" si="11"/>
        <v>344</v>
      </c>
      <c r="AK14" s="37">
        <f t="shared" si="11"/>
        <v>496</v>
      </c>
      <c r="AL14" s="37">
        <f t="shared" si="12"/>
        <v>840</v>
      </c>
      <c r="AM14" s="40">
        <f>7+4+2+1+2+2+3+4+3+4</f>
        <v>32</v>
      </c>
      <c r="AN14" s="40">
        <f>5+3+2+4+3+3+4+2+4+3</f>
        <v>33</v>
      </c>
      <c r="AO14" s="40">
        <f t="shared" si="22"/>
        <v>65</v>
      </c>
      <c r="AP14" s="40">
        <f t="shared" si="13"/>
        <v>376</v>
      </c>
      <c r="AQ14" s="40">
        <f t="shared" si="13"/>
        <v>529</v>
      </c>
      <c r="AR14" s="40">
        <f t="shared" si="23"/>
        <v>905</v>
      </c>
      <c r="AS14" s="41">
        <f>0+1+2+2+1+1+1+1</f>
        <v>9</v>
      </c>
      <c r="AT14" s="41">
        <f>4+3+2+2+3+2+3+4+2</f>
        <v>25</v>
      </c>
      <c r="AU14" s="41">
        <f t="shared" si="28"/>
        <v>34</v>
      </c>
      <c r="AV14" s="41">
        <f t="shared" si="24"/>
        <v>385</v>
      </c>
      <c r="AW14" s="41">
        <f t="shared" si="24"/>
        <v>554</v>
      </c>
      <c r="AX14" s="41">
        <f t="shared" si="25"/>
        <v>939</v>
      </c>
      <c r="AY14" s="42">
        <f>2+2+1+1+2+2+1</f>
        <v>11</v>
      </c>
      <c r="AZ14" s="42">
        <f>2+1+1+2+3+1+2</f>
        <v>12</v>
      </c>
      <c r="BA14" s="42">
        <f t="shared" si="14"/>
        <v>23</v>
      </c>
      <c r="BB14" s="41">
        <f t="shared" si="15"/>
        <v>396</v>
      </c>
      <c r="BC14" s="41">
        <f t="shared" si="15"/>
        <v>566</v>
      </c>
      <c r="BD14" s="41">
        <f t="shared" si="16"/>
        <v>962</v>
      </c>
      <c r="BE14" s="43">
        <f>1+1+2+2+2+1+2+1</f>
        <v>12</v>
      </c>
      <c r="BF14" s="43">
        <f>1+1+1+1+1+0+1</f>
        <v>6</v>
      </c>
      <c r="BG14" s="43">
        <f t="shared" si="26"/>
        <v>18</v>
      </c>
      <c r="BH14" s="45">
        <f>8+7+7+3+8+5+6</f>
        <v>44</v>
      </c>
      <c r="BI14" s="45">
        <f>9+9+8+12+8+10+9</f>
        <v>65</v>
      </c>
      <c r="BJ14" s="45">
        <f t="shared" si="17"/>
        <v>109</v>
      </c>
      <c r="BK14" s="46">
        <v>7</v>
      </c>
      <c r="BL14" s="46">
        <v>8</v>
      </c>
      <c r="BM14" s="46">
        <f t="shared" si="18"/>
        <v>15</v>
      </c>
      <c r="BN14" s="48">
        <f t="shared" si="19"/>
        <v>459</v>
      </c>
      <c r="BO14" s="48">
        <f t="shared" si="19"/>
        <v>645</v>
      </c>
      <c r="BP14" s="48">
        <f t="shared" si="29"/>
        <v>1104</v>
      </c>
    </row>
    <row r="15" spans="1:69" s="49" customFormat="1" ht="30" customHeight="1" x14ac:dyDescent="0.2">
      <c r="A15" s="50">
        <v>8</v>
      </c>
      <c r="B15" s="29" t="s">
        <v>32</v>
      </c>
      <c r="C15" s="30">
        <v>9</v>
      </c>
      <c r="D15" s="30">
        <v>2</v>
      </c>
      <c r="E15" s="30">
        <f t="shared" si="0"/>
        <v>11</v>
      </c>
      <c r="F15" s="31">
        <f>1+3+9+1+8+1+2-1</f>
        <v>24</v>
      </c>
      <c r="G15" s="31">
        <f>8+3+5+4+1+1</f>
        <v>22</v>
      </c>
      <c r="H15" s="31">
        <f t="shared" si="1"/>
        <v>46</v>
      </c>
      <c r="I15" s="32">
        <f>0+18+1+2+4+12+6+3+8+6</f>
        <v>60</v>
      </c>
      <c r="J15" s="32">
        <f>0+11+1+9+1+1+10+7+15+7</f>
        <v>62</v>
      </c>
      <c r="K15" s="32">
        <f t="shared" si="2"/>
        <v>122</v>
      </c>
      <c r="L15" s="32">
        <f t="shared" si="20"/>
        <v>93</v>
      </c>
      <c r="M15" s="32">
        <f t="shared" si="20"/>
        <v>86</v>
      </c>
      <c r="N15" s="32">
        <f t="shared" si="20"/>
        <v>179</v>
      </c>
      <c r="O15" s="33">
        <f>5+2+4+11+1+4+8+9</f>
        <v>44</v>
      </c>
      <c r="P15" s="33">
        <f>4+2+10+9+1+7+7+11+9</f>
        <v>60</v>
      </c>
      <c r="Q15" s="33">
        <f t="shared" si="3"/>
        <v>104</v>
      </c>
      <c r="R15" s="34">
        <f t="shared" si="4"/>
        <v>137</v>
      </c>
      <c r="S15" s="34">
        <f t="shared" si="4"/>
        <v>146</v>
      </c>
      <c r="T15" s="34">
        <f t="shared" si="5"/>
        <v>283</v>
      </c>
      <c r="U15" s="35">
        <f>9+5+4+12+10+9+14+13+4</f>
        <v>80</v>
      </c>
      <c r="V15" s="35">
        <f>20+9+8+11+10+27+15+17+8</f>
        <v>125</v>
      </c>
      <c r="W15" s="35">
        <f t="shared" si="6"/>
        <v>205</v>
      </c>
      <c r="X15" s="36">
        <f t="shared" si="7"/>
        <v>217</v>
      </c>
      <c r="Y15" s="36">
        <f t="shared" si="7"/>
        <v>271</v>
      </c>
      <c r="Z15" s="36">
        <f t="shared" si="8"/>
        <v>488</v>
      </c>
      <c r="AA15" s="37">
        <f>14+5+7+6+7+11+13+0+5+5</f>
        <v>73</v>
      </c>
      <c r="AB15" s="37">
        <f>8+9+8+12+7+10+10+0+11+7</f>
        <v>82</v>
      </c>
      <c r="AC15" s="37">
        <f>AA15+AB15</f>
        <v>155</v>
      </c>
      <c r="AD15" s="38">
        <f t="shared" si="9"/>
        <v>290</v>
      </c>
      <c r="AE15" s="38">
        <f t="shared" si="9"/>
        <v>353</v>
      </c>
      <c r="AF15" s="38">
        <f t="shared" si="27"/>
        <v>643</v>
      </c>
      <c r="AG15" s="39">
        <f>6+10+3+2+2+3+12+13+15+2</f>
        <v>68</v>
      </c>
      <c r="AH15" s="39">
        <f>12+4+10+8+14+7+8+14+15+2</f>
        <v>94</v>
      </c>
      <c r="AI15" s="39">
        <f t="shared" si="10"/>
        <v>162</v>
      </c>
      <c r="AJ15" s="37">
        <f t="shared" si="11"/>
        <v>358</v>
      </c>
      <c r="AK15" s="37">
        <f t="shared" si="11"/>
        <v>447</v>
      </c>
      <c r="AL15" s="37">
        <f t="shared" si="12"/>
        <v>805</v>
      </c>
      <c r="AM15" s="40">
        <f>7+8+2+10+6+6+1+2+2+2</f>
        <v>46</v>
      </c>
      <c r="AN15" s="40">
        <f>9+9+3+17+4+12+6+7+5+8</f>
        <v>80</v>
      </c>
      <c r="AO15" s="40">
        <f t="shared" si="22"/>
        <v>126</v>
      </c>
      <c r="AP15" s="40">
        <f t="shared" si="13"/>
        <v>404</v>
      </c>
      <c r="AQ15" s="40">
        <f t="shared" si="13"/>
        <v>527</v>
      </c>
      <c r="AR15" s="40">
        <f t="shared" si="23"/>
        <v>931</v>
      </c>
      <c r="AS15" s="41">
        <f>1+0+1+1+1+1</f>
        <v>5</v>
      </c>
      <c r="AT15" s="41">
        <f>4+5+1+2+1</f>
        <v>13</v>
      </c>
      <c r="AU15" s="41">
        <f t="shared" si="28"/>
        <v>18</v>
      </c>
      <c r="AV15" s="41">
        <f t="shared" si="24"/>
        <v>409</v>
      </c>
      <c r="AW15" s="41">
        <f t="shared" si="24"/>
        <v>540</v>
      </c>
      <c r="AX15" s="41">
        <f t="shared" si="25"/>
        <v>949</v>
      </c>
      <c r="AY15" s="42">
        <f>1+0+1</f>
        <v>2</v>
      </c>
      <c r="AZ15" s="42">
        <f>1+1+1+1+1+0+0</f>
        <v>5</v>
      </c>
      <c r="BA15" s="42">
        <f t="shared" si="14"/>
        <v>7</v>
      </c>
      <c r="BB15" s="41">
        <f t="shared" si="15"/>
        <v>411</v>
      </c>
      <c r="BC15" s="41">
        <f t="shared" si="15"/>
        <v>545</v>
      </c>
      <c r="BD15" s="41">
        <f t="shared" si="16"/>
        <v>956</v>
      </c>
      <c r="BE15" s="43">
        <f>1+1+1+0+0+1</f>
        <v>4</v>
      </c>
      <c r="BF15" s="43">
        <f>0+1+1+0+1</f>
        <v>3</v>
      </c>
      <c r="BG15" s="43">
        <f t="shared" si="26"/>
        <v>7</v>
      </c>
      <c r="BH15" s="45">
        <f>0+1+1+1+1</f>
        <v>4</v>
      </c>
      <c r="BI15" s="45">
        <f>0+1+1+1+1+1+1</f>
        <v>6</v>
      </c>
      <c r="BJ15" s="45">
        <f t="shared" si="17"/>
        <v>10</v>
      </c>
      <c r="BK15" s="46">
        <v>1</v>
      </c>
      <c r="BL15" s="46">
        <v>0</v>
      </c>
      <c r="BM15" s="46">
        <f t="shared" si="18"/>
        <v>1</v>
      </c>
      <c r="BN15" s="48">
        <f t="shared" si="19"/>
        <v>420</v>
      </c>
      <c r="BO15" s="48">
        <f t="shared" si="19"/>
        <v>554</v>
      </c>
      <c r="BP15" s="48">
        <f t="shared" si="29"/>
        <v>974</v>
      </c>
    </row>
    <row r="16" spans="1:69" ht="33.75" customHeight="1" x14ac:dyDescent="0.35">
      <c r="A16" s="57" t="s">
        <v>24</v>
      </c>
      <c r="B16" s="58"/>
      <c r="C16" s="51">
        <f>C8+C9+C10+C11+C12+C13+C14+C15</f>
        <v>116</v>
      </c>
      <c r="D16" s="51">
        <f>D8+D9+D10+D11+D12+D13+D14+D15</f>
        <v>127</v>
      </c>
      <c r="E16" s="51">
        <f t="shared" si="0"/>
        <v>243</v>
      </c>
      <c r="F16" s="51">
        <f>F8+F9+F10+F11+F12+F13+F14+F15</f>
        <v>236</v>
      </c>
      <c r="G16" s="51">
        <f>G8+G9+G10+G11+G12+G13+G14+G15</f>
        <v>254</v>
      </c>
      <c r="H16" s="51">
        <f t="shared" si="1"/>
        <v>490</v>
      </c>
      <c r="I16" s="51">
        <f>SUM(I8:I15)</f>
        <v>449</v>
      </c>
      <c r="J16" s="51">
        <f>SUM(J8:J15)</f>
        <v>445</v>
      </c>
      <c r="K16" s="51">
        <f t="shared" si="2"/>
        <v>894</v>
      </c>
      <c r="L16" s="51">
        <f t="shared" si="20"/>
        <v>801</v>
      </c>
      <c r="M16" s="51">
        <f t="shared" si="20"/>
        <v>826</v>
      </c>
      <c r="N16" s="52">
        <f>E16+H16+K16</f>
        <v>1627</v>
      </c>
      <c r="O16" s="51">
        <f>SUM(O8:O15)</f>
        <v>453</v>
      </c>
      <c r="P16" s="51">
        <f>SUM(P8:P15)</f>
        <v>651</v>
      </c>
      <c r="Q16" s="51">
        <f t="shared" si="3"/>
        <v>1104</v>
      </c>
      <c r="R16" s="51">
        <f>SUM(R8:R15)</f>
        <v>1254</v>
      </c>
      <c r="S16" s="51">
        <f>SUM(S8:S15)</f>
        <v>1477</v>
      </c>
      <c r="T16" s="51">
        <f t="shared" si="5"/>
        <v>2731</v>
      </c>
      <c r="U16" s="51">
        <f>SUM(U8:U15)</f>
        <v>647</v>
      </c>
      <c r="V16" s="51">
        <f>SUM(V8:V15)</f>
        <v>775</v>
      </c>
      <c r="W16" s="51">
        <f t="shared" si="6"/>
        <v>1422</v>
      </c>
      <c r="X16" s="51">
        <f>SUM(X8:X15)</f>
        <v>1901</v>
      </c>
      <c r="Y16" s="51">
        <f>SUM(Y8:Y15)</f>
        <v>2252</v>
      </c>
      <c r="Z16" s="51">
        <f t="shared" si="8"/>
        <v>4153</v>
      </c>
      <c r="AA16" s="51">
        <f t="shared" ref="AA16:AI16" si="30">SUM(AA8:AA15)</f>
        <v>500</v>
      </c>
      <c r="AB16" s="51">
        <f t="shared" si="30"/>
        <v>599</v>
      </c>
      <c r="AC16" s="53">
        <f t="shared" si="30"/>
        <v>1099</v>
      </c>
      <c r="AD16" s="53">
        <f>SUM(AD8:AD15)</f>
        <v>2401</v>
      </c>
      <c r="AE16" s="53">
        <f>SUM(AE8:AE15)</f>
        <v>2851</v>
      </c>
      <c r="AF16" s="53">
        <f>SUM(AF8:AF15)</f>
        <v>5252</v>
      </c>
      <c r="AG16" s="53">
        <f t="shared" si="30"/>
        <v>553</v>
      </c>
      <c r="AH16" s="53">
        <f t="shared" si="30"/>
        <v>571</v>
      </c>
      <c r="AI16" s="53">
        <f t="shared" si="30"/>
        <v>1124</v>
      </c>
      <c r="AJ16" s="53">
        <f>SUM(AJ8:AJ15)</f>
        <v>2954</v>
      </c>
      <c r="AK16" s="53">
        <f>SUM(AK8:AK15)</f>
        <v>3422</v>
      </c>
      <c r="AL16" s="53">
        <f t="shared" si="12"/>
        <v>6376</v>
      </c>
      <c r="AM16" s="53">
        <f t="shared" ref="AM16:BA16" si="31">SUM(AM8:AM15)</f>
        <v>319</v>
      </c>
      <c r="AN16" s="53">
        <f t="shared" si="31"/>
        <v>474</v>
      </c>
      <c r="AO16" s="53">
        <f t="shared" si="31"/>
        <v>793</v>
      </c>
      <c r="AP16" s="53">
        <f>SUM(AP8:AP15)</f>
        <v>3273</v>
      </c>
      <c r="AQ16" s="53">
        <f>SUM(AQ8:AQ15)</f>
        <v>3896</v>
      </c>
      <c r="AR16" s="53">
        <f t="shared" si="23"/>
        <v>7169</v>
      </c>
      <c r="AS16" s="53">
        <f>SUM(AS8:AS15)</f>
        <v>150</v>
      </c>
      <c r="AT16" s="53">
        <f>SUM(AT8:AT15)</f>
        <v>216</v>
      </c>
      <c r="AU16" s="53">
        <f>SUM(AU8:AU15)</f>
        <v>366</v>
      </c>
      <c r="AV16" s="53">
        <f>SUM(AV8:AV15)</f>
        <v>3423</v>
      </c>
      <c r="AW16" s="53">
        <f>SUM(AW8:AW15)</f>
        <v>4112</v>
      </c>
      <c r="AX16" s="53">
        <f t="shared" si="25"/>
        <v>7535</v>
      </c>
      <c r="AY16" s="53">
        <f t="shared" si="31"/>
        <v>93</v>
      </c>
      <c r="AZ16" s="53">
        <f t="shared" si="31"/>
        <v>119</v>
      </c>
      <c r="BA16" s="53">
        <f t="shared" si="31"/>
        <v>212</v>
      </c>
      <c r="BB16" s="52">
        <f>SUM(BB8:BB15)</f>
        <v>3516</v>
      </c>
      <c r="BC16" s="52">
        <f>SUM(BC8:BC15)</f>
        <v>4231</v>
      </c>
      <c r="BD16" s="52">
        <f t="shared" si="16"/>
        <v>7747</v>
      </c>
      <c r="BE16" s="51">
        <f t="shared" ref="BE16:BJ16" si="32">SUM(BE8:BE15)</f>
        <v>84</v>
      </c>
      <c r="BF16" s="51">
        <f t="shared" si="32"/>
        <v>79</v>
      </c>
      <c r="BG16" s="51">
        <f t="shared" si="32"/>
        <v>163</v>
      </c>
      <c r="BH16" s="51">
        <f t="shared" si="32"/>
        <v>153</v>
      </c>
      <c r="BI16" s="51">
        <f t="shared" si="32"/>
        <v>167</v>
      </c>
      <c r="BJ16" s="51">
        <f t="shared" si="32"/>
        <v>320</v>
      </c>
      <c r="BK16" s="51">
        <f>SUM(BK8:BK15)</f>
        <v>27</v>
      </c>
      <c r="BL16" s="51">
        <f>SUM(BL8:BL15)</f>
        <v>23</v>
      </c>
      <c r="BM16" s="51">
        <f>SUM(BM8:BM15)</f>
        <v>50</v>
      </c>
      <c r="BN16" s="54">
        <f>BN8+BN9+BN10+BN11+BN12+BN13+BN14+BN15</f>
        <v>3780</v>
      </c>
      <c r="BO16" s="54">
        <f>BO8+BO9+BO10+BO11+BO12+BO13+BO14+BO15</f>
        <v>4500</v>
      </c>
      <c r="BP16" s="54">
        <f>BN16+BO16</f>
        <v>8280</v>
      </c>
    </row>
    <row r="17" spans="1:69" x14ac:dyDescent="0.35">
      <c r="A17" s="59" t="s">
        <v>33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1"/>
      <c r="BQ17" s="55"/>
    </row>
    <row r="18" spans="1:69" ht="27" customHeight="1" x14ac:dyDescent="0.35">
      <c r="A18" s="62" t="s">
        <v>34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4"/>
    </row>
  </sheetData>
  <mergeCells count="26">
    <mergeCell ref="A5:BP5"/>
    <mergeCell ref="A6:A7"/>
    <mergeCell ref="B6:B7"/>
    <mergeCell ref="C6:K6"/>
    <mergeCell ref="L6:N6"/>
    <mergeCell ref="O6:Q6"/>
    <mergeCell ref="R6:T6"/>
    <mergeCell ref="U6:W6"/>
    <mergeCell ref="X6:Z6"/>
    <mergeCell ref="AA6:AC6"/>
    <mergeCell ref="BN6:BP6"/>
    <mergeCell ref="A16:B16"/>
    <mergeCell ref="A17:BP17"/>
    <mergeCell ref="A18:BP18"/>
    <mergeCell ref="AV6:AX6"/>
    <mergeCell ref="AY6:BA6"/>
    <mergeCell ref="BB6:BD6"/>
    <mergeCell ref="BE6:BG6"/>
    <mergeCell ref="BH6:BJ6"/>
    <mergeCell ref="BK6:BM6"/>
    <mergeCell ref="AD6:AF6"/>
    <mergeCell ref="AG6:AI6"/>
    <mergeCell ref="AJ6:AL6"/>
    <mergeCell ref="AM6:AO6"/>
    <mergeCell ref="AP6:AR6"/>
    <mergeCell ref="AS6:AU6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4+6 รวม</vt:lpstr>
      <vt:lpstr>'4+6 รวม'!Print_Area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lenovo_5</cp:lastModifiedBy>
  <dcterms:created xsi:type="dcterms:W3CDTF">2017-11-22T10:02:41Z</dcterms:created>
  <dcterms:modified xsi:type="dcterms:W3CDTF">2017-11-23T11:09:13Z</dcterms:modified>
</cp:coreProperties>
</file>