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40" windowWidth="20055" windowHeight="6180" firstSheet="2" activeTab="2"/>
  </bookViews>
  <sheets>
    <sheet name="งบกลุ่มจังหวัด 2561" sheetId="4" state="hidden" r:id="rId1"/>
    <sheet name="แผนภาค 2561 " sheetId="3" state="hidden" r:id="rId2"/>
    <sheet name="งบจังหวัด 2561" sheetId="1" r:id="rId3"/>
    <sheet name=" 8 ล้าน" sheetId="5" state="hidden" r:id="rId4"/>
    <sheet name=" งบ 250000 เหมียว" sheetId="7" state="hidden" r:id="rId5"/>
    <sheet name="Sheet1" sheetId="8" state="hidden" r:id="rId6"/>
    <sheet name="งบเร่งด่วน 61" sheetId="9" state="hidden" r:id="rId7"/>
  </sheets>
  <definedNames>
    <definedName name="_xlnm._FilterDatabase" localSheetId="0" hidden="1">'งบกลุ่มจังหวัด 2561'!$A$5:$F$33</definedName>
    <definedName name="_xlnm._FilterDatabase" localSheetId="2" hidden="1">'งบจังหวัด 2561'!$A$5:$Q$188</definedName>
    <definedName name="_xlnm._FilterDatabase" localSheetId="1" hidden="1">'แผนภาค 2561 '!$A$5:$M$5</definedName>
    <definedName name="_xlnm.Print_Area" localSheetId="0">'งบกลุ่มจังหวัด 2561'!$A$1:$O$34</definedName>
    <definedName name="_xlnm.Print_Area" localSheetId="2">'งบจังหวัด 2561'!$A$1:$Q$188</definedName>
    <definedName name="_xlnm.Print_Titles" localSheetId="3">' 8 ล้าน'!$4:$5</definedName>
    <definedName name="_xlnm.Print_Titles" localSheetId="5">Sheet1!$3:$3</definedName>
    <definedName name="_xlnm.Print_Titles" localSheetId="0">'งบกลุ่มจังหวัด 2561'!$5:$6</definedName>
    <definedName name="_xlnm.Print_Titles" localSheetId="2">'งบจังหวัด 2561'!$5:$6</definedName>
    <definedName name="_xlnm.Print_Titles" localSheetId="1">'แผนภาค 2561 '!$1:$5</definedName>
  </definedNames>
  <calcPr calcId="144525"/>
</workbook>
</file>

<file path=xl/calcChain.xml><?xml version="1.0" encoding="utf-8"?>
<calcChain xmlns="http://schemas.openxmlformats.org/spreadsheetml/2006/main">
  <c r="M168" i="1" l="1"/>
  <c r="M126" i="1" l="1"/>
  <c r="M167" i="1" l="1"/>
  <c r="I19" i="3" l="1"/>
  <c r="I16" i="3"/>
  <c r="F60" i="1" l="1"/>
  <c r="E64" i="1"/>
  <c r="M173" i="1"/>
  <c r="M138" i="1"/>
  <c r="F66" i="5" l="1"/>
  <c r="F29" i="5"/>
  <c r="M40" i="1" l="1"/>
  <c r="M29" i="1" l="1"/>
  <c r="M34" i="1"/>
  <c r="M28" i="1"/>
  <c r="M33" i="1"/>
  <c r="F23" i="5"/>
  <c r="F26" i="5"/>
  <c r="F38" i="5" l="1"/>
  <c r="F51" i="5"/>
  <c r="I58" i="5"/>
  <c r="G58" i="5"/>
  <c r="C10" i="3" l="1"/>
  <c r="C17" i="3"/>
  <c r="C18" i="3"/>
  <c r="C19" i="3"/>
  <c r="C20" i="3"/>
  <c r="C16" i="3"/>
  <c r="F53" i="5" l="1"/>
  <c r="M89" i="1"/>
  <c r="M12" i="1"/>
  <c r="F15" i="5" l="1"/>
  <c r="F28" i="5"/>
  <c r="F65" i="5"/>
  <c r="F16" i="5"/>
  <c r="P20" i="1" l="1"/>
  <c r="M22" i="1" l="1"/>
  <c r="G49" i="5" l="1"/>
  <c r="I49" i="5"/>
  <c r="M47" i="1" l="1"/>
  <c r="M55" i="1"/>
  <c r="F62" i="5" l="1"/>
  <c r="M24" i="1"/>
  <c r="N24" i="1" s="1"/>
  <c r="J23" i="3" l="1"/>
  <c r="C23" i="3"/>
  <c r="D23" i="3"/>
  <c r="D18" i="3"/>
  <c r="D17" i="3"/>
  <c r="C22" i="3"/>
  <c r="M152" i="1"/>
  <c r="M25" i="1"/>
  <c r="N152" i="1" l="1"/>
  <c r="M53" i="1"/>
  <c r="M128" i="1"/>
  <c r="M21" i="1"/>
  <c r="M36" i="1" l="1"/>
  <c r="M165" i="1" l="1"/>
  <c r="N80" i="1" l="1"/>
  <c r="M108" i="1"/>
  <c r="M105" i="1"/>
  <c r="N116" i="1" l="1"/>
  <c r="M116" i="1"/>
  <c r="N47" i="1"/>
  <c r="F55" i="5" l="1"/>
  <c r="M67" i="1" l="1"/>
  <c r="N13" i="9" l="1"/>
  <c r="M161" i="1" l="1"/>
  <c r="M162" i="1"/>
  <c r="M134" i="1"/>
  <c r="M132" i="1"/>
  <c r="O108" i="1"/>
  <c r="M70" i="1"/>
  <c r="M11" i="1"/>
  <c r="M180" i="1" l="1"/>
  <c r="D5" i="7" l="1"/>
  <c r="F91" i="1" l="1"/>
  <c r="F65" i="1" l="1"/>
  <c r="F51" i="1"/>
  <c r="M18" i="1" l="1"/>
  <c r="O18" i="1" l="1"/>
  <c r="M16" i="1"/>
  <c r="P106" i="1" l="1"/>
  <c r="N108" i="1"/>
  <c r="N16" i="1"/>
  <c r="M17" i="1"/>
  <c r="N17" i="1"/>
  <c r="F147" i="1"/>
  <c r="F146" i="1"/>
  <c r="F145" i="1"/>
  <c r="F142" i="1"/>
  <c r="F112" i="1"/>
  <c r="F102" i="1"/>
  <c r="F101" i="1"/>
  <c r="F100" i="1"/>
  <c r="F99" i="1"/>
  <c r="F98" i="1"/>
  <c r="F94" i="1"/>
  <c r="F93" i="1"/>
  <c r="F92" i="1"/>
  <c r="F89" i="1"/>
  <c r="F88" i="1"/>
  <c r="F87" i="1"/>
  <c r="F86" i="1"/>
  <c r="F85" i="1"/>
  <c r="F83" i="1"/>
  <c r="F81" i="1"/>
  <c r="F80" i="1"/>
  <c r="F79" i="1"/>
  <c r="N184" i="1"/>
  <c r="N183" i="1"/>
  <c r="K180" i="1"/>
  <c r="F180" i="1"/>
  <c r="O180" i="1" s="1"/>
  <c r="E184" i="1"/>
  <c r="E183" i="1"/>
  <c r="F24" i="5" l="1"/>
  <c r="F25" i="5"/>
  <c r="K102" i="1" l="1"/>
  <c r="H12" i="9" l="1"/>
  <c r="F45" i="5" l="1"/>
  <c r="M26" i="4" l="1"/>
  <c r="K26" i="4"/>
  <c r="I57" i="5" l="1"/>
  <c r="G57" i="5"/>
  <c r="F36" i="5" l="1"/>
  <c r="M8" i="9"/>
  <c r="M9" i="9"/>
  <c r="M10" i="9"/>
  <c r="M11" i="9"/>
  <c r="M12" i="9"/>
  <c r="M7" i="9"/>
  <c r="N12" i="9"/>
  <c r="N8" i="9"/>
  <c r="N9" i="9"/>
  <c r="N10" i="9"/>
  <c r="N7" i="9"/>
  <c r="I13" i="9"/>
  <c r="J13" i="9"/>
  <c r="L13" i="9"/>
  <c r="M13" i="9" l="1"/>
  <c r="M135" i="1"/>
  <c r="M131" i="1" l="1"/>
  <c r="M176" i="1"/>
  <c r="N176" i="1" s="1"/>
  <c r="M20" i="1" l="1"/>
  <c r="M23" i="1"/>
  <c r="K17" i="3" l="1"/>
  <c r="K18" i="3"/>
  <c r="K19" i="3"/>
  <c r="K20" i="3"/>
  <c r="K16" i="3"/>
  <c r="I18" i="3"/>
  <c r="I17" i="3"/>
  <c r="I15" i="3" l="1"/>
  <c r="J15" i="3"/>
  <c r="K15" i="3"/>
  <c r="H15" i="3"/>
  <c r="D15" i="3"/>
  <c r="L146" i="1" l="1"/>
  <c r="M10" i="1" l="1"/>
  <c r="M15" i="1"/>
  <c r="M19" i="1"/>
  <c r="M30" i="1"/>
  <c r="M32" i="1"/>
  <c r="M35" i="1"/>
  <c r="M38" i="1"/>
  <c r="M37" i="1" s="1"/>
  <c r="M39" i="1"/>
  <c r="L147" i="1"/>
  <c r="L51" i="1"/>
  <c r="M13" i="1" l="1"/>
  <c r="M9" i="1" s="1"/>
  <c r="F43" i="5" l="1"/>
  <c r="N91" i="1" l="1"/>
  <c r="F33" i="5" l="1"/>
  <c r="H10" i="9" l="1"/>
  <c r="H8" i="9"/>
  <c r="H9" i="9"/>
  <c r="H7" i="9"/>
  <c r="P180" i="1" l="1"/>
  <c r="P177" i="1"/>
  <c r="P175" i="1"/>
  <c r="P154" i="1"/>
  <c r="P153" i="1" s="1"/>
  <c r="P151" i="1"/>
  <c r="P149" i="1"/>
  <c r="P143" i="1"/>
  <c r="P140" i="1" s="1"/>
  <c r="P137" i="1"/>
  <c r="P136" i="1" s="1"/>
  <c r="P130" i="1"/>
  <c r="P129" i="1" s="1"/>
  <c r="P124" i="1"/>
  <c r="P123" i="1" s="1"/>
  <c r="P120" i="1"/>
  <c r="P118" i="1"/>
  <c r="P115" i="1"/>
  <c r="P114" i="1" s="1"/>
  <c r="P104" i="1"/>
  <c r="P103" i="1"/>
  <c r="P97" i="1"/>
  <c r="P96" i="1"/>
  <c r="P90" i="1"/>
  <c r="P82" i="1"/>
  <c r="P77" i="1"/>
  <c r="P72" i="1"/>
  <c r="P71" i="1" s="1"/>
  <c r="P68" i="1"/>
  <c r="P45" i="1"/>
  <c r="P42" i="1"/>
  <c r="P41" i="1" s="1"/>
  <c r="P39" i="1"/>
  <c r="P37" i="1"/>
  <c r="P35" i="1"/>
  <c r="P10" i="1"/>
  <c r="P117" i="1" l="1"/>
  <c r="P113" i="1" s="1"/>
  <c r="P174" i="1"/>
  <c r="P148" i="1"/>
  <c r="P76" i="1"/>
  <c r="P44" i="1"/>
  <c r="P139" i="1" l="1"/>
  <c r="F32" i="5" l="1"/>
  <c r="F31" i="5"/>
  <c r="F34" i="5"/>
  <c r="F35" i="5" l="1"/>
  <c r="K8" i="9" l="1"/>
  <c r="K13" i="9" s="1"/>
  <c r="F44" i="5" l="1"/>
  <c r="M73" i="1"/>
  <c r="N73" i="1" s="1"/>
  <c r="O65" i="1"/>
  <c r="N62" i="1"/>
  <c r="N63" i="1"/>
  <c r="N65" i="1"/>
  <c r="N66" i="1"/>
  <c r="N61" i="1"/>
  <c r="N52" i="1"/>
  <c r="O51" i="1"/>
  <c r="N51" i="1"/>
  <c r="N182" i="1"/>
  <c r="N187" i="1"/>
  <c r="O187" i="1"/>
  <c r="O182" i="1"/>
  <c r="N146" i="1"/>
  <c r="N147" i="1"/>
  <c r="O146" i="1"/>
  <c r="O147" i="1"/>
  <c r="N145" i="1"/>
  <c r="O145" i="1"/>
  <c r="L145" i="1"/>
  <c r="N142" i="1"/>
  <c r="O142" i="1"/>
  <c r="L142" i="1"/>
  <c r="N112" i="1"/>
  <c r="O112" i="1"/>
  <c r="L101" i="1"/>
  <c r="L102" i="1"/>
  <c r="L99" i="1"/>
  <c r="L100" i="1"/>
  <c r="O102" i="1"/>
  <c r="O99" i="1"/>
  <c r="O100" i="1"/>
  <c r="O101" i="1"/>
  <c r="N101" i="1"/>
  <c r="N102" i="1"/>
  <c r="N99" i="1"/>
  <c r="N100" i="1"/>
  <c r="O98" i="1"/>
  <c r="N98" i="1"/>
  <c r="L98" i="1"/>
  <c r="N180" i="1" l="1"/>
  <c r="N144" i="1"/>
  <c r="I56" i="5" l="1"/>
  <c r="G56" i="5"/>
  <c r="M121" i="1" l="1"/>
  <c r="F9" i="5" l="1"/>
  <c r="F8" i="5"/>
  <c r="G48" i="5" l="1"/>
  <c r="I48" i="5"/>
  <c r="I47" i="5"/>
  <c r="G47" i="5"/>
  <c r="I55" i="5"/>
  <c r="G55" i="5"/>
  <c r="M43" i="1" l="1"/>
  <c r="L112" i="1" l="1"/>
  <c r="L182" i="1"/>
  <c r="L133" i="1"/>
  <c r="L127" i="1"/>
  <c r="L187" i="1"/>
  <c r="L180" i="1" l="1"/>
  <c r="L65" i="1"/>
  <c r="M75" i="1" l="1"/>
  <c r="M74" i="1"/>
  <c r="N74" i="1" s="1"/>
  <c r="E28" i="5" l="1"/>
  <c r="E23" i="5"/>
  <c r="M46" i="1" l="1"/>
  <c r="N46" i="1" s="1"/>
  <c r="F27" i="5" l="1"/>
  <c r="N105" i="1"/>
  <c r="M155" i="1" l="1"/>
  <c r="M110" i="1" l="1"/>
  <c r="O110" i="1" s="1"/>
  <c r="M156" i="1" l="1"/>
  <c r="H13" i="9" l="1"/>
  <c r="G13" i="9"/>
  <c r="C13" i="9"/>
  <c r="L74" i="8" l="1"/>
  <c r="O73" i="8"/>
  <c r="F73" i="8"/>
  <c r="O70" i="8"/>
  <c r="F70" i="8"/>
  <c r="O68" i="8"/>
  <c r="N68" i="8"/>
  <c r="O67" i="8"/>
  <c r="F67" i="8"/>
  <c r="O66" i="8"/>
  <c r="F66" i="8"/>
  <c r="O65" i="8"/>
  <c r="F65" i="8"/>
  <c r="O64" i="8"/>
  <c r="N64" i="8"/>
  <c r="O63" i="8"/>
  <c r="F63" i="8"/>
  <c r="O62" i="8"/>
  <c r="N62" i="8"/>
  <c r="P59" i="8"/>
  <c r="O59" i="8"/>
  <c r="P55" i="8"/>
  <c r="O55" i="8"/>
  <c r="F55" i="8"/>
  <c r="N54" i="8"/>
  <c r="N53" i="8" s="1"/>
  <c r="N52" i="8" s="1"/>
  <c r="O50" i="8"/>
  <c r="O49" i="8" s="1"/>
  <c r="F50" i="8"/>
  <c r="N49" i="8"/>
  <c r="O48" i="8"/>
  <c r="F48" i="8"/>
  <c r="O44" i="8"/>
  <c r="F44" i="8"/>
  <c r="O43" i="8"/>
  <c r="F43" i="8"/>
  <c r="O42" i="8"/>
  <c r="F42" i="8"/>
  <c r="O41" i="8"/>
  <c r="F41" i="8"/>
  <c r="O40" i="8"/>
  <c r="F40" i="8"/>
  <c r="O39" i="8"/>
  <c r="O38" i="8" s="1"/>
  <c r="N39" i="8"/>
  <c r="N38" i="8" s="1"/>
  <c r="O37" i="8"/>
  <c r="F37" i="8"/>
  <c r="P36" i="8"/>
  <c r="O36" i="8"/>
  <c r="M36" i="8"/>
  <c r="F36" i="8"/>
  <c r="P35" i="8"/>
  <c r="O35" i="8"/>
  <c r="M35" i="8"/>
  <c r="F35" i="8"/>
  <c r="P34" i="8"/>
  <c r="O34" i="8"/>
  <c r="M34" i="8"/>
  <c r="F34" i="8"/>
  <c r="P33" i="8"/>
  <c r="O33" i="8"/>
  <c r="M33" i="8"/>
  <c r="F33" i="8"/>
  <c r="N32" i="8"/>
  <c r="P31" i="8"/>
  <c r="O31" i="8"/>
  <c r="M31" i="8"/>
  <c r="F31" i="8"/>
  <c r="P30" i="8"/>
  <c r="O30" i="8"/>
  <c r="M30" i="8"/>
  <c r="F30" i="8"/>
  <c r="P29" i="8"/>
  <c r="O29" i="8"/>
  <c r="M29" i="8"/>
  <c r="F29" i="8"/>
  <c r="P28" i="8"/>
  <c r="O28" i="8"/>
  <c r="M28" i="8"/>
  <c r="F28" i="8"/>
  <c r="P27" i="8"/>
  <c r="O27" i="8"/>
  <c r="M27" i="8"/>
  <c r="F27" i="8"/>
  <c r="P26" i="8"/>
  <c r="O26" i="8"/>
  <c r="M26" i="8"/>
  <c r="F26" i="8"/>
  <c r="P25" i="8"/>
  <c r="O25" i="8"/>
  <c r="O24" i="8" s="1"/>
  <c r="M25" i="8"/>
  <c r="F25" i="8"/>
  <c r="N24" i="8"/>
  <c r="P23" i="8"/>
  <c r="O23" i="8"/>
  <c r="M23" i="8"/>
  <c r="F23" i="8"/>
  <c r="P22" i="8"/>
  <c r="O22" i="8"/>
  <c r="G22" i="8"/>
  <c r="M22" i="8" s="1"/>
  <c r="P21" i="8"/>
  <c r="O21" i="8"/>
  <c r="M21" i="8"/>
  <c r="M74" i="8" s="1"/>
  <c r="F21" i="8"/>
  <c r="N20" i="8"/>
  <c r="O18" i="8"/>
  <c r="F18" i="8"/>
  <c r="O17" i="8"/>
  <c r="F17" i="8"/>
  <c r="O16" i="8"/>
  <c r="F16" i="8"/>
  <c r="O15" i="8"/>
  <c r="F15" i="8"/>
  <c r="O14" i="8"/>
  <c r="F14" i="8"/>
  <c r="O8" i="8"/>
  <c r="F8" i="8"/>
  <c r="O7" i="8"/>
  <c r="F7" i="8"/>
  <c r="N6" i="8"/>
  <c r="Q74" i="8"/>
  <c r="G74" i="8" l="1"/>
  <c r="F74" i="8" s="1"/>
  <c r="O61" i="8"/>
  <c r="N61" i="8"/>
  <c r="O20" i="8"/>
  <c r="P32" i="8"/>
  <c r="P54" i="8"/>
  <c r="P52" i="8"/>
  <c r="P6" i="8"/>
  <c r="O32" i="8"/>
  <c r="N47" i="8"/>
  <c r="N46" i="8" s="1"/>
  <c r="N45" i="8" s="1"/>
  <c r="O47" i="8"/>
  <c r="O46" i="8" s="1"/>
  <c r="O6" i="8"/>
  <c r="P20" i="8"/>
  <c r="F22" i="8"/>
  <c r="P24" i="8"/>
  <c r="N9" i="8"/>
  <c r="O9" i="8"/>
  <c r="N19" i="8"/>
  <c r="O54" i="8"/>
  <c r="N58" i="8"/>
  <c r="O58" i="8"/>
  <c r="E180" i="1"/>
  <c r="E187" i="1"/>
  <c r="E182" i="1"/>
  <c r="P9" i="8" l="1"/>
  <c r="O19" i="8"/>
  <c r="P46" i="8"/>
  <c r="O53" i="8"/>
  <c r="O52" i="8" s="1"/>
  <c r="O45" i="8"/>
  <c r="P53" i="8"/>
  <c r="P45" i="8"/>
  <c r="P19" i="8"/>
  <c r="P47" i="8"/>
  <c r="O5" i="8"/>
  <c r="N60" i="8"/>
  <c r="P58" i="8"/>
  <c r="N57" i="8"/>
  <c r="N5" i="8"/>
  <c r="O57" i="8"/>
  <c r="O56" i="8" s="1"/>
  <c r="O51" i="8" l="1"/>
  <c r="P60" i="8"/>
  <c r="O60" i="8"/>
  <c r="O74" i="8"/>
  <c r="P5" i="8"/>
  <c r="P57" i="8"/>
  <c r="N56" i="8"/>
  <c r="P56" i="8" l="1"/>
  <c r="N74" i="8"/>
  <c r="N51" i="8"/>
  <c r="P51" i="8" s="1"/>
  <c r="P74" i="8" l="1"/>
  <c r="F52" i="5"/>
  <c r="F11" i="5"/>
  <c r="F63" i="5" l="1"/>
  <c r="M119" i="1" l="1"/>
  <c r="L94" i="1" l="1"/>
  <c r="L93" i="1"/>
  <c r="H21" i="5" l="1"/>
  <c r="H67" i="5" s="1"/>
  <c r="H38" i="5"/>
  <c r="G42" i="5"/>
  <c r="G46" i="5" l="1"/>
  <c r="I46" i="5"/>
  <c r="C6" i="7" l="1"/>
  <c r="E5" i="7"/>
  <c r="E6" i="7" s="1"/>
  <c r="F5" i="7" l="1"/>
  <c r="F6" i="7" s="1"/>
  <c r="D6" i="7"/>
  <c r="F42" i="5" l="1"/>
  <c r="G45" i="5"/>
  <c r="I45" i="5"/>
  <c r="G13" i="1" l="1"/>
  <c r="M166" i="1" l="1"/>
  <c r="L92" i="1" l="1"/>
  <c r="J12" i="4" l="1"/>
  <c r="L91" i="1" l="1"/>
  <c r="L85" i="1"/>
  <c r="L86" i="1"/>
  <c r="L87" i="1"/>
  <c r="L88" i="1"/>
  <c r="L89" i="1"/>
  <c r="L84" i="1"/>
  <c r="L83" i="1"/>
  <c r="N81" i="1"/>
  <c r="L81" i="1"/>
  <c r="L80" i="1"/>
  <c r="O81" i="1"/>
  <c r="N79" i="1"/>
  <c r="O79" i="1"/>
  <c r="L79" i="1"/>
  <c r="N23" i="1" l="1"/>
  <c r="G20" i="1"/>
  <c r="E27" i="1"/>
  <c r="N27" i="1"/>
  <c r="O27" i="1"/>
  <c r="E26" i="1"/>
  <c r="N26" i="1"/>
  <c r="O26" i="1"/>
  <c r="E25" i="1"/>
  <c r="N25" i="1"/>
  <c r="O25" i="1"/>
  <c r="E24" i="1"/>
  <c r="O24" i="1"/>
  <c r="E23" i="1"/>
  <c r="O23" i="1"/>
  <c r="E22" i="1"/>
  <c r="N22" i="1"/>
  <c r="O22" i="1"/>
  <c r="E21" i="1"/>
  <c r="N21" i="1"/>
  <c r="O21" i="1"/>
  <c r="I54" i="5" l="1"/>
  <c r="G54" i="5"/>
  <c r="I44" i="5" l="1"/>
  <c r="G44" i="5"/>
  <c r="E26" i="5"/>
  <c r="I37" i="5"/>
  <c r="G37" i="5"/>
  <c r="E37" i="5"/>
  <c r="G53" i="5" l="1"/>
  <c r="I53" i="5"/>
  <c r="I52" i="5"/>
  <c r="G52" i="5"/>
  <c r="F39" i="5" l="1"/>
  <c r="I43" i="5" l="1"/>
  <c r="G43" i="5"/>
  <c r="M125" i="1" l="1"/>
  <c r="N55" i="1" l="1"/>
  <c r="F50" i="1" l="1"/>
  <c r="I41" i="5" l="1"/>
  <c r="G41" i="5"/>
  <c r="O178" i="1" l="1"/>
  <c r="O176" i="1"/>
  <c r="O156" i="1"/>
  <c r="O157" i="1"/>
  <c r="O158" i="1"/>
  <c r="O159" i="1"/>
  <c r="O160" i="1"/>
  <c r="O161" i="1"/>
  <c r="O163" i="1"/>
  <c r="O164" i="1"/>
  <c r="O165" i="1"/>
  <c r="O166" i="1"/>
  <c r="O167" i="1"/>
  <c r="O168" i="1"/>
  <c r="O169" i="1"/>
  <c r="O170" i="1"/>
  <c r="O171" i="1"/>
  <c r="O172" i="1"/>
  <c r="O173" i="1"/>
  <c r="O155" i="1"/>
  <c r="O152" i="1"/>
  <c r="O150" i="1"/>
  <c r="O138" i="1"/>
  <c r="O135" i="1"/>
  <c r="O134" i="1"/>
  <c r="O133" i="1"/>
  <c r="O132" i="1"/>
  <c r="O128" i="1"/>
  <c r="O127" i="1"/>
  <c r="O126" i="1"/>
  <c r="O122" i="1"/>
  <c r="O121" i="1"/>
  <c r="O119" i="1"/>
  <c r="O105" i="1"/>
  <c r="O92" i="1"/>
  <c r="O93" i="1"/>
  <c r="O94" i="1"/>
  <c r="O91" i="1"/>
  <c r="O84" i="1"/>
  <c r="O86" i="1"/>
  <c r="O87" i="1"/>
  <c r="O89" i="1"/>
  <c r="O83" i="1"/>
  <c r="O75" i="1"/>
  <c r="O70" i="1"/>
  <c r="O69" i="1"/>
  <c r="O67" i="1"/>
  <c r="O55" i="1"/>
  <c r="O53" i="1"/>
  <c r="O49" i="1"/>
  <c r="O43" i="1"/>
  <c r="O40" i="1"/>
  <c r="O38" i="1"/>
  <c r="O36" i="1"/>
  <c r="O15" i="1"/>
  <c r="O17" i="1"/>
  <c r="O19" i="1"/>
  <c r="O20" i="1"/>
  <c r="O28" i="1"/>
  <c r="O29" i="1"/>
  <c r="O30" i="1"/>
  <c r="O31" i="1"/>
  <c r="O32" i="1"/>
  <c r="O33" i="1"/>
  <c r="O34" i="1"/>
  <c r="N178" i="1"/>
  <c r="N177" i="1" s="1"/>
  <c r="N17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55" i="1"/>
  <c r="N150" i="1"/>
  <c r="N149" i="1" s="1"/>
  <c r="N141" i="1"/>
  <c r="N138" i="1"/>
  <c r="N137" i="1" s="1"/>
  <c r="N136" i="1" s="1"/>
  <c r="N135" i="1"/>
  <c r="N134" i="1"/>
  <c r="N133" i="1"/>
  <c r="N132" i="1"/>
  <c r="N128" i="1"/>
  <c r="N127" i="1"/>
  <c r="N126" i="1"/>
  <c r="N122" i="1"/>
  <c r="N121" i="1"/>
  <c r="N119" i="1"/>
  <c r="N115" i="1"/>
  <c r="N114" i="1" s="1"/>
  <c r="N110" i="1"/>
  <c r="N104" i="1"/>
  <c r="N92" i="1"/>
  <c r="N93" i="1"/>
  <c r="N94" i="1"/>
  <c r="N84" i="1"/>
  <c r="N86" i="1"/>
  <c r="N87" i="1"/>
  <c r="N88" i="1"/>
  <c r="N89" i="1"/>
  <c r="N83" i="1"/>
  <c r="N75" i="1"/>
  <c r="N70" i="1"/>
  <c r="N69" i="1"/>
  <c r="N67" i="1"/>
  <c r="N53" i="1"/>
  <c r="N49" i="1"/>
  <c r="N43" i="1"/>
  <c r="N42" i="1" s="1"/>
  <c r="N41" i="1" s="1"/>
  <c r="N40" i="1"/>
  <c r="N39" i="1" s="1"/>
  <c r="N38" i="1"/>
  <c r="N36" i="1"/>
  <c r="N35" i="1" s="1"/>
  <c r="N15" i="1"/>
  <c r="P13" i="1"/>
  <c r="P9" i="1" s="1"/>
  <c r="P8" i="1" s="1"/>
  <c r="N18" i="1"/>
  <c r="N19" i="1"/>
  <c r="N20" i="1"/>
  <c r="N28" i="1"/>
  <c r="N29" i="1"/>
  <c r="N30" i="1"/>
  <c r="N31" i="1"/>
  <c r="N32" i="1"/>
  <c r="N33" i="1"/>
  <c r="N34" i="1"/>
  <c r="K177" i="1"/>
  <c r="L177" i="1"/>
  <c r="M177" i="1"/>
  <c r="K175" i="1"/>
  <c r="K174" i="1" s="1"/>
  <c r="L175" i="1"/>
  <c r="M175" i="1"/>
  <c r="M174" i="1" s="1"/>
  <c r="L174" i="1"/>
  <c r="K154" i="1"/>
  <c r="K153" i="1" s="1"/>
  <c r="L154" i="1"/>
  <c r="L153" i="1" s="1"/>
  <c r="M154" i="1"/>
  <c r="M153" i="1" s="1"/>
  <c r="K151" i="1"/>
  <c r="L151" i="1"/>
  <c r="M151" i="1"/>
  <c r="N151" i="1"/>
  <c r="K149" i="1"/>
  <c r="L149" i="1"/>
  <c r="L148" i="1" s="1"/>
  <c r="M149" i="1"/>
  <c r="K144" i="1"/>
  <c r="L144" i="1"/>
  <c r="L143" i="1" s="1"/>
  <c r="M144" i="1"/>
  <c r="M143" i="1" s="1"/>
  <c r="N143" i="1"/>
  <c r="K141" i="1"/>
  <c r="L141" i="1"/>
  <c r="M141" i="1"/>
  <c r="O141" i="1" s="1"/>
  <c r="K137" i="1"/>
  <c r="L137" i="1"/>
  <c r="L136" i="1" s="1"/>
  <c r="M137" i="1"/>
  <c r="M136" i="1" s="1"/>
  <c r="K136" i="1"/>
  <c r="K131" i="1"/>
  <c r="K130" i="1" s="1"/>
  <c r="K129" i="1" s="1"/>
  <c r="L131" i="1"/>
  <c r="L130" i="1" s="1"/>
  <c r="L129" i="1" s="1"/>
  <c r="M130" i="1"/>
  <c r="M129" i="1" s="1"/>
  <c r="K125" i="1"/>
  <c r="K124" i="1" s="1"/>
  <c r="K123" i="1" s="1"/>
  <c r="L125" i="1"/>
  <c r="L124" i="1" s="1"/>
  <c r="L123" i="1" s="1"/>
  <c r="M124" i="1"/>
  <c r="M123" i="1" s="1"/>
  <c r="K120" i="1"/>
  <c r="L120" i="1"/>
  <c r="L117" i="1" s="1"/>
  <c r="M120" i="1"/>
  <c r="N120" i="1"/>
  <c r="N118" i="1"/>
  <c r="K118" i="1"/>
  <c r="L118" i="1"/>
  <c r="M118" i="1"/>
  <c r="K115" i="1"/>
  <c r="K114" i="1" s="1"/>
  <c r="L115" i="1"/>
  <c r="L114" i="1" s="1"/>
  <c r="M115" i="1"/>
  <c r="M114" i="1" s="1"/>
  <c r="K111" i="1"/>
  <c r="L111" i="1"/>
  <c r="M111" i="1"/>
  <c r="O111" i="1" s="1"/>
  <c r="N111" i="1"/>
  <c r="K107" i="1"/>
  <c r="K106" i="1" s="1"/>
  <c r="L107" i="1"/>
  <c r="M107" i="1"/>
  <c r="M106" i="1" s="1"/>
  <c r="G111" i="1"/>
  <c r="G115" i="1"/>
  <c r="G114" i="1" s="1"/>
  <c r="G118" i="1"/>
  <c r="G120" i="1"/>
  <c r="G125" i="1"/>
  <c r="G124" i="1" s="1"/>
  <c r="G123" i="1" s="1"/>
  <c r="G131" i="1"/>
  <c r="G130" i="1" s="1"/>
  <c r="G129" i="1" s="1"/>
  <c r="L106" i="1"/>
  <c r="K104" i="1"/>
  <c r="L104" i="1"/>
  <c r="M104" i="1"/>
  <c r="K97" i="1"/>
  <c r="K96" i="1" s="1"/>
  <c r="L97" i="1"/>
  <c r="L96" i="1" s="1"/>
  <c r="M97" i="1"/>
  <c r="M96" i="1" s="1"/>
  <c r="N97" i="1"/>
  <c r="N96" i="1" s="1"/>
  <c r="K90" i="1"/>
  <c r="L90" i="1"/>
  <c r="M90" i="1"/>
  <c r="K82" i="1"/>
  <c r="L82" i="1"/>
  <c r="M82" i="1"/>
  <c r="O82" i="1" s="1"/>
  <c r="N82" i="1"/>
  <c r="K77" i="1"/>
  <c r="L77" i="1"/>
  <c r="M77" i="1"/>
  <c r="N77" i="1"/>
  <c r="K72" i="1"/>
  <c r="K71" i="1" s="1"/>
  <c r="L72" i="1"/>
  <c r="L71" i="1" s="1"/>
  <c r="M72" i="1"/>
  <c r="M71" i="1" s="1"/>
  <c r="K68" i="1"/>
  <c r="L68" i="1"/>
  <c r="M68" i="1"/>
  <c r="G60" i="1"/>
  <c r="G54" i="1" s="1"/>
  <c r="K60" i="1"/>
  <c r="K54" i="1" s="1"/>
  <c r="L60" i="1"/>
  <c r="L54" i="1" s="1"/>
  <c r="M60" i="1"/>
  <c r="N60" i="1"/>
  <c r="F54" i="1"/>
  <c r="K50" i="1"/>
  <c r="K48" i="1" s="1"/>
  <c r="L50" i="1"/>
  <c r="L48" i="1" s="1"/>
  <c r="M50" i="1"/>
  <c r="M48" i="1" s="1"/>
  <c r="N50" i="1"/>
  <c r="N48" i="1" s="1"/>
  <c r="G50" i="1"/>
  <c r="G48" i="1" s="1"/>
  <c r="F48" i="1"/>
  <c r="K42" i="1"/>
  <c r="K41" i="1" s="1"/>
  <c r="L42" i="1"/>
  <c r="L41" i="1" s="1"/>
  <c r="M42" i="1"/>
  <c r="M41" i="1" s="1"/>
  <c r="K39" i="1"/>
  <c r="L39" i="1"/>
  <c r="K37" i="1"/>
  <c r="L37" i="1"/>
  <c r="N37" i="1"/>
  <c r="K35" i="1"/>
  <c r="L35" i="1"/>
  <c r="K13" i="1"/>
  <c r="L13" i="1"/>
  <c r="K10" i="1"/>
  <c r="L10" i="1"/>
  <c r="N33" i="4"/>
  <c r="N30" i="4"/>
  <c r="N28" i="4"/>
  <c r="N27" i="4"/>
  <c r="N26" i="4"/>
  <c r="N23" i="4"/>
  <c r="N24" i="4"/>
  <c r="N20" i="4"/>
  <c r="N21" i="4"/>
  <c r="N19" i="4"/>
  <c r="N17" i="4"/>
  <c r="N13" i="4"/>
  <c r="N14" i="4"/>
  <c r="N11" i="4"/>
  <c r="K10" i="3"/>
  <c r="K9" i="3" s="1"/>
  <c r="K8" i="3" s="1"/>
  <c r="K7" i="3" s="1"/>
  <c r="H14" i="3"/>
  <c r="H13" i="3" s="1"/>
  <c r="H23" i="3" s="1"/>
  <c r="I14" i="3"/>
  <c r="I13" i="3" s="1"/>
  <c r="I23" i="3" s="1"/>
  <c r="J14" i="3"/>
  <c r="J13" i="3" s="1"/>
  <c r="C15" i="3"/>
  <c r="H9" i="3"/>
  <c r="H8" i="3" s="1"/>
  <c r="I9" i="3"/>
  <c r="I8" i="3" s="1"/>
  <c r="I7" i="3" s="1"/>
  <c r="J9" i="3"/>
  <c r="J8" i="3" s="1"/>
  <c r="M33" i="4"/>
  <c r="M31" i="4" s="1"/>
  <c r="M30" i="4"/>
  <c r="M28" i="4"/>
  <c r="M24" i="4"/>
  <c r="M20" i="4"/>
  <c r="M21" i="4"/>
  <c r="M19" i="4"/>
  <c r="M17" i="4"/>
  <c r="M14" i="4"/>
  <c r="M13" i="4"/>
  <c r="M12" i="4" s="1"/>
  <c r="M11" i="4"/>
  <c r="J32" i="4"/>
  <c r="K32" i="4"/>
  <c r="L32" i="4"/>
  <c r="J31" i="4"/>
  <c r="K31" i="4"/>
  <c r="L31" i="4"/>
  <c r="J29" i="4"/>
  <c r="K29" i="4"/>
  <c r="L29" i="4"/>
  <c r="M29" i="4"/>
  <c r="J27" i="4"/>
  <c r="K27" i="4"/>
  <c r="L27" i="4"/>
  <c r="M27" i="4"/>
  <c r="J25" i="4"/>
  <c r="N25" i="4" s="1"/>
  <c r="K25" i="4"/>
  <c r="L25" i="4"/>
  <c r="M25" i="4"/>
  <c r="J23" i="4"/>
  <c r="K23" i="4"/>
  <c r="K22" i="4" s="1"/>
  <c r="L23" i="4"/>
  <c r="M23" i="4"/>
  <c r="J18" i="4"/>
  <c r="J16" i="4" s="1"/>
  <c r="J15" i="4" s="1"/>
  <c r="K18" i="4"/>
  <c r="L18" i="4"/>
  <c r="L16" i="4" s="1"/>
  <c r="L15" i="4" s="1"/>
  <c r="K16" i="4"/>
  <c r="K15" i="4" s="1"/>
  <c r="K12" i="4"/>
  <c r="K10" i="4" s="1"/>
  <c r="K9" i="4" s="1"/>
  <c r="L12" i="4"/>
  <c r="N12" i="4" s="1"/>
  <c r="J10" i="4"/>
  <c r="J9" i="4" s="1"/>
  <c r="L10" i="4"/>
  <c r="L9" i="4" s="1"/>
  <c r="F22" i="4"/>
  <c r="D23" i="4"/>
  <c r="D24" i="4"/>
  <c r="F23" i="4"/>
  <c r="E23" i="4"/>
  <c r="D25" i="4"/>
  <c r="D26" i="4"/>
  <c r="F25" i="4"/>
  <c r="E25" i="4"/>
  <c r="D27" i="4"/>
  <c r="F29" i="4"/>
  <c r="E29" i="4"/>
  <c r="N29" i="4" s="1"/>
  <c r="E27" i="4"/>
  <c r="F27" i="4"/>
  <c r="D28" i="4"/>
  <c r="D30" i="4"/>
  <c r="D29" i="4"/>
  <c r="F32" i="4"/>
  <c r="F31" i="4" s="1"/>
  <c r="D31" i="4" s="1"/>
  <c r="D33" i="4"/>
  <c r="F16" i="4"/>
  <c r="F15" i="4" s="1"/>
  <c r="E16" i="4"/>
  <c r="E15" i="4" s="1"/>
  <c r="E10" i="4"/>
  <c r="E9" i="4" s="1"/>
  <c r="F18" i="4"/>
  <c r="F12" i="4"/>
  <c r="F10" i="4" s="1"/>
  <c r="F9" i="4" s="1"/>
  <c r="F8" i="4" s="1"/>
  <c r="P7" i="1" l="1"/>
  <c r="P188" i="1" s="1"/>
  <c r="N90" i="1"/>
  <c r="N76" i="1" s="1"/>
  <c r="M54" i="1"/>
  <c r="O60" i="1"/>
  <c r="N68" i="1"/>
  <c r="M22" i="4"/>
  <c r="J22" i="4"/>
  <c r="E22" i="4"/>
  <c r="D22" i="4" s="1"/>
  <c r="N22" i="4" s="1"/>
  <c r="K14" i="3"/>
  <c r="K13" i="3" s="1"/>
  <c r="K23" i="3" s="1"/>
  <c r="K143" i="1"/>
  <c r="O144" i="1"/>
  <c r="N154" i="1"/>
  <c r="N153" i="1" s="1"/>
  <c r="L140" i="1"/>
  <c r="L139" i="1" s="1"/>
  <c r="N125" i="1"/>
  <c r="N124" i="1" s="1"/>
  <c r="N123" i="1" s="1"/>
  <c r="N72" i="1"/>
  <c r="N71" i="1" s="1"/>
  <c r="O77" i="1"/>
  <c r="D32" i="4"/>
  <c r="N15" i="4"/>
  <c r="E8" i="4"/>
  <c r="D16" i="4"/>
  <c r="M16" i="4" s="1"/>
  <c r="M18" i="4"/>
  <c r="N16" i="4"/>
  <c r="N18" i="4"/>
  <c r="E7" i="4"/>
  <c r="D8" i="4"/>
  <c r="D34" i="4" s="1"/>
  <c r="F34" i="4"/>
  <c r="F7" i="4"/>
  <c r="N10" i="4"/>
  <c r="D10" i="4"/>
  <c r="M9" i="4" s="1"/>
  <c r="O90" i="1"/>
  <c r="L76" i="1"/>
  <c r="K117" i="1"/>
  <c r="N54" i="1"/>
  <c r="N45" i="1" s="1"/>
  <c r="N44" i="1" s="1"/>
  <c r="O114" i="1"/>
  <c r="O118" i="1"/>
  <c r="O120" i="1"/>
  <c r="N131" i="1"/>
  <c r="N130" i="1" s="1"/>
  <c r="N129" i="1" s="1"/>
  <c r="L9" i="1"/>
  <c r="M45" i="1"/>
  <c r="K45" i="1"/>
  <c r="K44" i="1" s="1"/>
  <c r="M103" i="1"/>
  <c r="K103" i="1"/>
  <c r="N148" i="1"/>
  <c r="N107" i="1"/>
  <c r="N106" i="1" s="1"/>
  <c r="N103" i="1" s="1"/>
  <c r="G117" i="1"/>
  <c r="M117" i="1"/>
  <c r="M113" i="1" s="1"/>
  <c r="N174" i="1"/>
  <c r="N140" i="1"/>
  <c r="N117" i="1"/>
  <c r="M148" i="1"/>
  <c r="K148" i="1"/>
  <c r="M140" i="1"/>
  <c r="K140" i="1"/>
  <c r="L113" i="1"/>
  <c r="K113" i="1"/>
  <c r="L103" i="1"/>
  <c r="M76" i="1"/>
  <c r="R7" i="1" s="1"/>
  <c r="T7" i="1" s="1"/>
  <c r="K76" i="1"/>
  <c r="L45" i="1"/>
  <c r="L44" i="1" s="1"/>
  <c r="K9" i="1"/>
  <c r="E23" i="3"/>
  <c r="L22" i="4"/>
  <c r="J8" i="4"/>
  <c r="J7" i="4" s="1"/>
  <c r="L8" i="4"/>
  <c r="L7" i="4" s="1"/>
  <c r="K8" i="4"/>
  <c r="K34" i="4" s="1"/>
  <c r="K7" i="4"/>
  <c r="D9" i="4"/>
  <c r="N9" i="4" s="1"/>
  <c r="D15" i="4"/>
  <c r="E15" i="1"/>
  <c r="E34" i="4" l="1"/>
  <c r="L188" i="1"/>
  <c r="N193" i="1" s="1"/>
  <c r="K139" i="1"/>
  <c r="K188" i="1"/>
  <c r="M8" i="4"/>
  <c r="M7" i="4" s="1"/>
  <c r="J34" i="4"/>
  <c r="L34" i="4"/>
  <c r="N34" i="4" s="1"/>
  <c r="N8" i="4"/>
  <c r="D7" i="4"/>
  <c r="N7" i="4" s="1"/>
  <c r="N139" i="1"/>
  <c r="O117" i="1"/>
  <c r="O76" i="1"/>
  <c r="L8" i="1"/>
  <c r="L7" i="1" s="1"/>
  <c r="M139" i="1"/>
  <c r="N113" i="1"/>
  <c r="M44" i="1"/>
  <c r="M8" i="1" s="1"/>
  <c r="K8" i="1"/>
  <c r="M34" i="4" l="1"/>
  <c r="K7" i="1"/>
  <c r="F90" i="1"/>
  <c r="G62" i="5"/>
  <c r="G63" i="5"/>
  <c r="G64" i="5"/>
  <c r="G65" i="5"/>
  <c r="G66" i="5"/>
  <c r="G61" i="5"/>
  <c r="G51" i="5"/>
  <c r="F50" i="5"/>
  <c r="G50" i="5"/>
  <c r="G40" i="5"/>
  <c r="G38" i="5"/>
  <c r="G39" i="5"/>
  <c r="G32" i="5"/>
  <c r="G33" i="5"/>
  <c r="G34" i="5"/>
  <c r="G35" i="5"/>
  <c r="G36" i="5"/>
  <c r="G31" i="5"/>
  <c r="G24" i="5"/>
  <c r="G25" i="5"/>
  <c r="G26" i="5"/>
  <c r="G27" i="5"/>
  <c r="G28" i="5"/>
  <c r="G29" i="5"/>
  <c r="G23" i="5"/>
  <c r="G20" i="5"/>
  <c r="G16" i="5"/>
  <c r="G17" i="5"/>
  <c r="G18" i="5"/>
  <c r="F14" i="5"/>
  <c r="F13" i="5" s="1"/>
  <c r="G15" i="5"/>
  <c r="G9" i="5"/>
  <c r="G10" i="5"/>
  <c r="G11" i="5"/>
  <c r="G12" i="5"/>
  <c r="G8" i="5"/>
  <c r="G14" i="5" l="1"/>
  <c r="G13" i="5" s="1"/>
  <c r="I40" i="5"/>
  <c r="I39" i="5"/>
  <c r="I62" i="5"/>
  <c r="I63" i="5"/>
  <c r="I64" i="5"/>
  <c r="I65" i="5"/>
  <c r="I66" i="5"/>
  <c r="I61" i="5"/>
  <c r="I51" i="5"/>
  <c r="I38" i="5"/>
  <c r="I32" i="5"/>
  <c r="I33" i="5"/>
  <c r="I34" i="5"/>
  <c r="I35" i="5"/>
  <c r="I36" i="5"/>
  <c r="I31" i="5"/>
  <c r="I29" i="5"/>
  <c r="I24" i="5"/>
  <c r="I25" i="5"/>
  <c r="I26" i="5"/>
  <c r="I27" i="5"/>
  <c r="I28" i="5"/>
  <c r="I23" i="5"/>
  <c r="I20" i="5"/>
  <c r="I16" i="5"/>
  <c r="I17" i="5"/>
  <c r="I18" i="5"/>
  <c r="I15" i="5"/>
  <c r="I9" i="5"/>
  <c r="I10" i="5"/>
  <c r="I11" i="5"/>
  <c r="I12" i="5"/>
  <c r="I8" i="5"/>
  <c r="E13" i="5"/>
  <c r="I13" i="5" s="1"/>
  <c r="F60" i="5"/>
  <c r="G60" i="5"/>
  <c r="G59" i="5" s="1"/>
  <c r="E60" i="5"/>
  <c r="E59" i="5" s="1"/>
  <c r="E50" i="5"/>
  <c r="I50" i="5" s="1"/>
  <c r="F30" i="5"/>
  <c r="G30" i="5"/>
  <c r="E30" i="5"/>
  <c r="F22" i="5"/>
  <c r="G22" i="5"/>
  <c r="E22" i="5"/>
  <c r="E21" i="5" s="1"/>
  <c r="F19" i="5"/>
  <c r="G19" i="5"/>
  <c r="E19" i="5"/>
  <c r="E14" i="5"/>
  <c r="I14" i="5" s="1"/>
  <c r="F7" i="5"/>
  <c r="F6" i="5" s="1"/>
  <c r="G7" i="5"/>
  <c r="G6" i="5" s="1"/>
  <c r="E6" i="5"/>
  <c r="E7" i="5"/>
  <c r="I60" i="5" l="1"/>
  <c r="F21" i="5"/>
  <c r="F59" i="5"/>
  <c r="I59" i="5" s="1"/>
  <c r="I22" i="5"/>
  <c r="I19" i="5"/>
  <c r="I30" i="5"/>
  <c r="G21" i="5"/>
  <c r="G67" i="5" s="1"/>
  <c r="I6" i="5"/>
  <c r="I7" i="5"/>
  <c r="E67" i="5"/>
  <c r="G177" i="1"/>
  <c r="O177" i="1" s="1"/>
  <c r="G175" i="1"/>
  <c r="F175" i="1"/>
  <c r="G154" i="1"/>
  <c r="G151" i="1"/>
  <c r="O151" i="1" s="1"/>
  <c r="F151" i="1"/>
  <c r="G149" i="1"/>
  <c r="O149" i="1" s="1"/>
  <c r="F149" i="1"/>
  <c r="G144" i="1"/>
  <c r="F144" i="1"/>
  <c r="F143" i="1" s="1"/>
  <c r="G141" i="1"/>
  <c r="F141" i="1"/>
  <c r="G137" i="1"/>
  <c r="F137" i="1"/>
  <c r="F136" i="1" s="1"/>
  <c r="F131" i="1"/>
  <c r="F130" i="1" s="1"/>
  <c r="E126" i="1"/>
  <c r="F125" i="1"/>
  <c r="E125" i="1" s="1"/>
  <c r="O125" i="1" s="1"/>
  <c r="F120" i="1"/>
  <c r="E120" i="1" s="1"/>
  <c r="F118" i="1"/>
  <c r="E118" i="1" s="1"/>
  <c r="F115" i="1"/>
  <c r="F114" i="1" s="1"/>
  <c r="F107" i="1"/>
  <c r="F106" i="1" s="1"/>
  <c r="G107" i="1"/>
  <c r="G106" i="1" s="1"/>
  <c r="G104" i="1"/>
  <c r="O104" i="1" s="1"/>
  <c r="F104" i="1"/>
  <c r="G96" i="1"/>
  <c r="G97" i="1"/>
  <c r="F97" i="1"/>
  <c r="F96" i="1" s="1"/>
  <c r="G90" i="1"/>
  <c r="E95" i="1"/>
  <c r="G82" i="1"/>
  <c r="F82" i="1"/>
  <c r="G77" i="1"/>
  <c r="G76" i="1" s="1"/>
  <c r="F77" i="1"/>
  <c r="G72" i="1"/>
  <c r="F72" i="1"/>
  <c r="G71" i="1"/>
  <c r="F71" i="1"/>
  <c r="E71" i="1" s="1"/>
  <c r="G45" i="1"/>
  <c r="E54" i="1"/>
  <c r="O54" i="1" s="1"/>
  <c r="E48" i="1"/>
  <c r="O48" i="1" s="1"/>
  <c r="G39" i="1"/>
  <c r="O39" i="1" s="1"/>
  <c r="G37" i="1"/>
  <c r="O37" i="1" s="1"/>
  <c r="G35" i="1"/>
  <c r="O35" i="1" s="1"/>
  <c r="G10" i="1"/>
  <c r="F10" i="1"/>
  <c r="E178" i="1"/>
  <c r="E176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55" i="1"/>
  <c r="E152" i="1"/>
  <c r="E150" i="1"/>
  <c r="E146" i="1"/>
  <c r="E147" i="1"/>
  <c r="E145" i="1"/>
  <c r="E142" i="1"/>
  <c r="E138" i="1"/>
  <c r="E134" i="1"/>
  <c r="E135" i="1"/>
  <c r="E128" i="1"/>
  <c r="E127" i="1"/>
  <c r="E122" i="1"/>
  <c r="E121" i="1"/>
  <c r="E119" i="1"/>
  <c r="E116" i="1"/>
  <c r="E112" i="1"/>
  <c r="E110" i="1"/>
  <c r="E109" i="1"/>
  <c r="E105" i="1"/>
  <c r="E99" i="1"/>
  <c r="E100" i="1"/>
  <c r="E101" i="1"/>
  <c r="E102" i="1"/>
  <c r="E98" i="1"/>
  <c r="E92" i="1"/>
  <c r="E93" i="1"/>
  <c r="E94" i="1"/>
  <c r="E91" i="1"/>
  <c r="E84" i="1"/>
  <c r="E85" i="1"/>
  <c r="E86" i="1"/>
  <c r="E87" i="1"/>
  <c r="E88" i="1"/>
  <c r="E89" i="1"/>
  <c r="E83" i="1"/>
  <c r="E79" i="1"/>
  <c r="E80" i="1"/>
  <c r="E81" i="1"/>
  <c r="E78" i="1"/>
  <c r="E74" i="1"/>
  <c r="E75" i="1"/>
  <c r="E73" i="1"/>
  <c r="E70" i="1"/>
  <c r="E69" i="1"/>
  <c r="E67" i="1"/>
  <c r="E62" i="1"/>
  <c r="E63" i="1"/>
  <c r="E65" i="1"/>
  <c r="E66" i="1"/>
  <c r="E61" i="1"/>
  <c r="E53" i="1"/>
  <c r="E52" i="1"/>
  <c r="E51" i="1"/>
  <c r="E47" i="1"/>
  <c r="E46" i="1"/>
  <c r="E43" i="1"/>
  <c r="E40" i="1"/>
  <c r="E38" i="1"/>
  <c r="E36" i="1"/>
  <c r="E34" i="1"/>
  <c r="E33" i="1"/>
  <c r="E32" i="1"/>
  <c r="E31" i="1"/>
  <c r="E30" i="1"/>
  <c r="E29" i="1"/>
  <c r="E28" i="1"/>
  <c r="E20" i="1"/>
  <c r="E19" i="1"/>
  <c r="E18" i="1"/>
  <c r="E17" i="1"/>
  <c r="E16" i="1"/>
  <c r="E14" i="1"/>
  <c r="E12" i="1"/>
  <c r="E11" i="1"/>
  <c r="F67" i="5" l="1"/>
  <c r="M179" i="1" s="1"/>
  <c r="I21" i="5"/>
  <c r="F76" i="1"/>
  <c r="R78" i="1" s="1"/>
  <c r="R79" i="1" s="1"/>
  <c r="E151" i="1"/>
  <c r="E104" i="1"/>
  <c r="F140" i="1"/>
  <c r="E144" i="1"/>
  <c r="E72" i="1"/>
  <c r="G136" i="1"/>
  <c r="O137" i="1"/>
  <c r="G153" i="1"/>
  <c r="O153" i="1" s="1"/>
  <c r="O154" i="1"/>
  <c r="G174" i="1"/>
  <c r="O174" i="1" s="1"/>
  <c r="O175" i="1"/>
  <c r="E82" i="1"/>
  <c r="E137" i="1"/>
  <c r="E141" i="1"/>
  <c r="E149" i="1"/>
  <c r="E106" i="1"/>
  <c r="O106" i="1" s="1"/>
  <c r="E10" i="1"/>
  <c r="E107" i="1"/>
  <c r="E115" i="1"/>
  <c r="E136" i="1"/>
  <c r="E175" i="1"/>
  <c r="F117" i="1"/>
  <c r="E131" i="1"/>
  <c r="O131" i="1" s="1"/>
  <c r="E97" i="1"/>
  <c r="E90" i="1"/>
  <c r="E77" i="1"/>
  <c r="G143" i="1"/>
  <c r="D14" i="3"/>
  <c r="D13" i="3" s="1"/>
  <c r="C14" i="3"/>
  <c r="C13" i="3" s="1"/>
  <c r="D9" i="3"/>
  <c r="D8" i="3" s="1"/>
  <c r="D7" i="3" s="1"/>
  <c r="C9" i="3"/>
  <c r="C8" i="3" s="1"/>
  <c r="F177" i="1"/>
  <c r="F174" i="1" s="1"/>
  <c r="F154" i="1"/>
  <c r="F153" i="1" s="1"/>
  <c r="F124" i="1"/>
  <c r="F123" i="1" s="1"/>
  <c r="E114" i="1"/>
  <c r="F111" i="1"/>
  <c r="F103" i="1" s="1"/>
  <c r="G103" i="1"/>
  <c r="F68" i="1"/>
  <c r="G68" i="1"/>
  <c r="O68" i="1" s="1"/>
  <c r="E68" i="1"/>
  <c r="F45" i="1"/>
  <c r="F42" i="1"/>
  <c r="G42" i="1"/>
  <c r="F39" i="1"/>
  <c r="E39" i="1" s="1"/>
  <c r="F37" i="1"/>
  <c r="E37" i="1" s="1"/>
  <c r="F35" i="1"/>
  <c r="E35" i="1" s="1"/>
  <c r="F13" i="1"/>
  <c r="E13" i="1" s="1"/>
  <c r="E153" i="1" l="1"/>
  <c r="E76" i="1"/>
  <c r="N179" i="1"/>
  <c r="R9" i="1"/>
  <c r="C7" i="3"/>
  <c r="I67" i="5"/>
  <c r="O179" i="1"/>
  <c r="G41" i="1"/>
  <c r="O41" i="1" s="1"/>
  <c r="O42" i="1"/>
  <c r="E103" i="1"/>
  <c r="O103" i="1" s="1"/>
  <c r="G9" i="1"/>
  <c r="O136" i="1"/>
  <c r="G113" i="1"/>
  <c r="E174" i="1"/>
  <c r="E154" i="1"/>
  <c r="E177" i="1"/>
  <c r="F9" i="1"/>
  <c r="E9" i="1" s="1"/>
  <c r="E111" i="1"/>
  <c r="G140" i="1"/>
  <c r="E143" i="1"/>
  <c r="F129" i="1"/>
  <c r="E129" i="1" s="1"/>
  <c r="O129" i="1" s="1"/>
  <c r="E130" i="1"/>
  <c r="O130" i="1" s="1"/>
  <c r="E124" i="1"/>
  <c r="O124" i="1" s="1"/>
  <c r="E96" i="1"/>
  <c r="F41" i="1"/>
  <c r="E42" i="1"/>
  <c r="E45" i="1"/>
  <c r="O45" i="1" s="1"/>
  <c r="F148" i="1"/>
  <c r="F139" i="1" s="1"/>
  <c r="E117" i="1"/>
  <c r="G148" i="1"/>
  <c r="O148" i="1" s="1"/>
  <c r="F44" i="1"/>
  <c r="G44" i="1"/>
  <c r="F188" i="1" l="1"/>
  <c r="G188" i="1"/>
  <c r="G8" i="1"/>
  <c r="F113" i="1"/>
  <c r="E44" i="1"/>
  <c r="O44" i="1" s="1"/>
  <c r="E148" i="1"/>
  <c r="E123" i="1"/>
  <c r="O123" i="1" s="1"/>
  <c r="G139" i="1"/>
  <c r="E139" i="1" s="1"/>
  <c r="O139" i="1" s="1"/>
  <c r="E140" i="1"/>
  <c r="E41" i="1"/>
  <c r="F8" i="1"/>
  <c r="F7" i="1" s="1"/>
  <c r="S7" i="1" l="1"/>
  <c r="U7" i="1"/>
  <c r="G7" i="1"/>
  <c r="S9" i="1" s="1"/>
  <c r="E113" i="1"/>
  <c r="O113" i="1" s="1"/>
  <c r="E8" i="1"/>
  <c r="P8" i="4"/>
  <c r="P7" i="4"/>
  <c r="E188" i="1" l="1"/>
  <c r="E7" i="1"/>
  <c r="R80" i="1" s="1"/>
  <c r="O9" i="1"/>
  <c r="O13" i="1"/>
  <c r="O10" i="1"/>
  <c r="N12" i="1"/>
  <c r="O12" i="1"/>
  <c r="O11" i="1"/>
  <c r="O8" i="1"/>
  <c r="M7" i="1"/>
  <c r="R98" i="1" s="1"/>
  <c r="S98" i="1" s="1"/>
  <c r="O14" i="1"/>
  <c r="N14" i="1"/>
  <c r="N13" i="1" s="1"/>
  <c r="M188" i="1"/>
  <c r="O188" i="1" s="1"/>
  <c r="N11" i="1"/>
  <c r="N10" i="1" s="1"/>
  <c r="N9" i="1" l="1"/>
  <c r="O7" i="1"/>
  <c r="N188" i="1" l="1"/>
  <c r="N8" i="1"/>
  <c r="N7" i="1" s="1"/>
</calcChain>
</file>

<file path=xl/sharedStrings.xml><?xml version="1.0" encoding="utf-8"?>
<sst xmlns="http://schemas.openxmlformats.org/spreadsheetml/2006/main" count="976" uniqueCount="508">
  <si>
    <t>โครงการ/กิจกรรม</t>
  </si>
  <si>
    <t>งบประมาณที่ได้รับจัดสรร (บาท)</t>
  </si>
  <si>
    <t>หน่วยงาน
ดำเนินการ</t>
  </si>
  <si>
    <t>รวม</t>
  </si>
  <si>
    <t>งบลงทุน</t>
  </si>
  <si>
    <t>งบดำเนินงาน</t>
  </si>
  <si>
    <t>งบพัฒนาจังหวัดอ่างทอง ประจำปีงบประมาณ พ.ศ.2561</t>
  </si>
  <si>
    <t>ประเด็นยุทธศาสตร์ที่ 1 พัฒนาเมืองน่าอยู่ สู่สังคมมั่นคง และเป็นสุข</t>
  </si>
  <si>
    <t>ตำรวจภูธรจังหวัด</t>
  </si>
  <si>
    <t>ที่ทำการปกครองจังหวัด</t>
  </si>
  <si>
    <t>สถานพินิจและคุ้มครองเด็กและเยาวชนจังหวัด</t>
  </si>
  <si>
    <t>ศอ.ปส.จังหวัด</t>
  </si>
  <si>
    <t>สนง.จัดหางานจังหวัด</t>
  </si>
  <si>
    <t>สนง.ประกันสังคม
จังหวัด</t>
  </si>
  <si>
    <t>สนง.เกษตรและสหกรณ์จังหวัด</t>
  </si>
  <si>
    <t xml:space="preserve"> - อาคารเก็บผลิตภัณฑ์</t>
  </si>
  <si>
    <t xml:space="preserve"> - ต่อเติมอาคารโรงสีข้าว</t>
  </si>
  <si>
    <t xml:space="preserve"> - ลานอเนประสงค์</t>
  </si>
  <si>
    <t xml:space="preserve"> - ก่อสร้างศาลาดอกเห็ด</t>
  </si>
  <si>
    <t xml:space="preserve"> - แพลอยน้ำ</t>
  </si>
  <si>
    <t xml:space="preserve"> - ถังแชมเปญ</t>
  </si>
  <si>
    <t>สนง.ประมงจังหวัด</t>
  </si>
  <si>
    <t>สนง.พัฒนาชุมชนจังหวัด</t>
  </si>
  <si>
    <t>สนง.สาธารณสุขจังหวัด</t>
  </si>
  <si>
    <t>อำเภอไชโย</t>
  </si>
  <si>
    <t>อำเภอเมืองอ่างทอง</t>
  </si>
  <si>
    <t>อำเภอวิเศษชัยชาญ</t>
  </si>
  <si>
    <t>อำเภอแสวงหา</t>
  </si>
  <si>
    <t>อำเภอโพธิ์ทอง</t>
  </si>
  <si>
    <t>โครงการชลประทานอ่างทอง</t>
  </si>
  <si>
    <t xml:space="preserve"> - ระบบบำบัดน้ำเสีย</t>
  </si>
  <si>
    <t>สนง.โยธาธิการและผังเมืองจังหวัด</t>
  </si>
  <si>
    <t>ประเด็นยุทธศาสตร์ที่ 2 พัฒนาผลิตภัณฑ์สู่มาตรฐานสากล</t>
  </si>
  <si>
    <t>1. โครงการวิจัยและพัฒนา (R&amp;D) กรอบแนวคิดและการสร้างองค์ความรู้</t>
  </si>
  <si>
    <t>1.1 สร้างองค์ความรู้ทางเทคโนโลยี และนวัตกรรมแก่เกษตรกร/ผู้ประกอบการตามหลักวิชาการ</t>
  </si>
  <si>
    <t>1.1.1 พัฒนาศักยภาพผู้ประกอบอาหารรองรับครัวไทยสู่ครัวโลก</t>
  </si>
  <si>
    <t>2. โครงการพัฒนาศักยภาพและเพิ่มขีดความสามารถให้แก่เกษตรกร/ผู้ประกอบการ</t>
  </si>
  <si>
    <t>2.1 พัฒนาศักยภาพของเกษตรกร</t>
  </si>
  <si>
    <t>2.1.1 พัฒนาศักยภาพเกษตรต้นแบบ (Smart farmer / อกม เกษตรกรและเจ้าหน้าที่)</t>
  </si>
  <si>
    <t>สนง.เกษตรจังหวัด</t>
  </si>
  <si>
    <t>2.2 พัฒนาศักยภาพของผู้ประกอบการ</t>
  </si>
  <si>
    <t>2.2.1 ยกระดับผลิตภัณฑ์ชุมชนสู่มาตราฐานสากล</t>
  </si>
  <si>
    <t>2.2.2 จัดแสดงและจำหน่ายสินค้าหนึ่งตำบลหนึ่งผลิตภัณฑ์ (OTOP Angthong to Asean)</t>
  </si>
  <si>
    <t>3. โครงการส่งเสริมและสนับสนุนการผลิตอาหารปลอดภัยและผลิตภัณฑ์ชุมชน</t>
  </si>
  <si>
    <t>3.1 พัฒนากระบวนการผลิตและแปรรูปสินค้าเกษตรให้ได้มาตรฐาน</t>
  </si>
  <si>
    <t xml:space="preserve"> - โรงเรือนคัดบรรจุผลผลิต</t>
  </si>
  <si>
    <t>4. โครงการยกระดับมาตรฐานผลิตภัณฑ์</t>
  </si>
  <si>
    <t xml:space="preserve">4.1พัฒนาผลิตภัณฑ์ชุมชนและท้องถิ่นสู่มาตรฐานสากล   </t>
  </si>
  <si>
    <t>4.1.1 ส่งเสริมการผลิตอาหารปลอดภัย (การผลิตผักในโรงเรือนระบบปิด) โครงการต่อเนื่อง</t>
  </si>
  <si>
    <t>4.1.2 ปรับโครงสร้างระบบการผลิตสินค้าเกษตรในพื้นที่แปลงใหญ่ (ข้าว, มะม่วง)</t>
  </si>
  <si>
    <t>4.1.3 พัฒนาศักยภาพด้านการผลิตการรักษาคุณภาพ และการพัฒนารูปแบบบรรจุภัณฑ์ให้แก่ผู้ผลิตและท้องถิ่น</t>
  </si>
  <si>
    <t>สนง.อุตสาหกรรมจังหวัด</t>
  </si>
  <si>
    <t>5. โครงการส่งเสริมการตลาดเชิงรุก</t>
  </si>
  <si>
    <t>สนง.พาณิชย์จังหวัด</t>
  </si>
  <si>
    <t>ประเด็นยุทธศาสตร์ที่ 3 ส่งเสริมการท่องเที่ยวเชิงวัฒนธรรม</t>
  </si>
  <si>
    <t>1 โครงการพัฒนาปัจจัยพื้นฐานด้านการท่องเที่ยวและบริการ</t>
  </si>
  <si>
    <t>1.1 พัฒนาปัจจัยสับสนุนภาคการท่องเที่ยวและบริการ</t>
  </si>
  <si>
    <t>สนง.การท่องเที่ยว
และกีฬาจังหวัด</t>
  </si>
  <si>
    <t>1.2 พัฒนา/ ปรับปรุง/ อนุรักษ์/ ฟื้นฟู แหล่งท่องเที่ยว</t>
  </si>
  <si>
    <t xml:space="preserve"> - ปรับปรุงป้ายประชาสัมพันธ์</t>
  </si>
  <si>
    <t>1.2.2 พัฒนา ปรับปรุง ฟื้นฟู แหล่งท่องเที่ยว</t>
  </si>
  <si>
    <t>2. โครงการพัฒนาระบบบริหารจัดการและการมีส่วนร่วมด้านการท่องเที่ยว</t>
  </si>
  <si>
    <t>2.1 เสริมสร้างการมีส่วนร่วมในการดูแลรักษาแหล่งท่องเที่ยว</t>
  </si>
  <si>
    <t>2.1.1 เสริมสร้างการมีส่วนร่วมในการดูแลรักษาแหล่งท่องเที่ยว</t>
  </si>
  <si>
    <t xml:space="preserve">2.2 พัฒนาระบบสารสนเทศด้านการท่องเที่ยว </t>
  </si>
  <si>
    <t>2.2.1 พัฒนาระบบสารสนเทศด้านการท่องเที่ยว</t>
  </si>
  <si>
    <t>3. โครงการส่งเสริมกิจกรรมการท่องเที่ยว</t>
  </si>
  <si>
    <t>3.1 จัดกิจกรรมและพัฒนาผลิตภัณฑ์เพื่อส่งเสริมการท่องเที่ยวเชิงวัฒนธรรม</t>
  </si>
  <si>
    <t>3.1.1 สืบสานศิลปะการแสดงพื้นบ้าน "โขนสด"</t>
  </si>
  <si>
    <t>สนง.วัฒนธรรมจังหวัด</t>
  </si>
  <si>
    <t>3.1.2 ถ่ายทอดศิลปะ การแสดงละครชาตรี</t>
  </si>
  <si>
    <t xml:space="preserve">3.1.5 งานรำลึกสมเด็จพระนเรศวรมหาราช  </t>
  </si>
  <si>
    <t xml:space="preserve">3.1.6 งานรำลึกวีรชนแขวงเมืองวิเศษไชยชาญ </t>
  </si>
  <si>
    <t xml:space="preserve">3.1.7 งานสดุดีวีรชนคนแสวงหา </t>
  </si>
  <si>
    <t xml:space="preserve">3.1.9 งานสดุดีวีรชนพันท้ายนรสิงห์ </t>
  </si>
  <si>
    <t xml:space="preserve">3.1.12 งานแข่งขันเรือพาย </t>
  </si>
  <si>
    <t xml:space="preserve">3.1.13 งานเกษตรและของดีเมืองอ่างทอง </t>
  </si>
  <si>
    <t>3.1.14 งานมหกรรมลิเก</t>
  </si>
  <si>
    <t>3.1.15 งานมหกรรมกลองนานาชาติ</t>
  </si>
  <si>
    <t>3.1.16 งานเทศกาลไหว้พระนอนวัดขุนอินทประมูล</t>
  </si>
  <si>
    <t>3.1.17 งานรำลึกประพาสต้นล้นเกล้า รัชกาลที่ 5</t>
  </si>
  <si>
    <t>3.1.18 งานรำลึกรัชกาลที่ 9</t>
  </si>
  <si>
    <t>ค่าใช้จ่ายในการบริหารงานจังหวัด/กลุ่มจังหวัดแบบบูรณาการ</t>
  </si>
  <si>
    <t>รวมทั้งสิ้น</t>
  </si>
  <si>
    <t>3.1.8 งานรำลึกวีรชนคนถูกลืม ขุนรองปลัดชู</t>
  </si>
  <si>
    <t>3.1.3 งานอนุรักษ์มรดกไทย เฉลิมพระเกียรติสมเด็จพระเทพรัตนราชสุดาฯ สยามบรมราชกุมารี</t>
  </si>
  <si>
    <t>3.1.4 งานรำลึกสมเด็จพระพุฒาจารย์ (โต พรหมรังสี)</t>
  </si>
  <si>
    <t>3.1.10 งานเทศกาลกินผัดไทย ไหว้พระสมเด็จเกษไชโย</t>
  </si>
  <si>
    <t>สนง.ทรัพยากร
ธรรมชาติและสิ่งแวดล้อมจังหวัด</t>
  </si>
  <si>
    <t>ที่</t>
  </si>
  <si>
    <t>โครงการ</t>
  </si>
  <si>
    <t>หน่วยดำเนินงาน</t>
  </si>
  <si>
    <t>แนวทางที่ 2 เกษตร</t>
  </si>
  <si>
    <t>ด้าน : เกษตรแปลงใหญ่</t>
  </si>
  <si>
    <t>โครงสร้างพื้นฐานเพื่อสนับสนุนการผลิต</t>
  </si>
  <si>
    <t>โครงการแก้มลิงคลองบ้านใหม่</t>
  </si>
  <si>
    <t xml:space="preserve">แนวทางที่ 4.1 สังคม คุณภาพชีวิต </t>
  </si>
  <si>
    <t>ด้าน : การพัฒนาโครงสร้างพื้นฐานเพื่อความมั่นคงในชีวิต</t>
  </si>
  <si>
    <t xml:space="preserve"> พัฒนาคุณภาพชีวิตด้านสาธารณสุขแก่ผู้สูงอายุ จังหวัดอ่างทอง</t>
  </si>
  <si>
    <t>สำนักงานสาธารณสุขจังหวัดอ่างทอง</t>
  </si>
  <si>
    <t xml:space="preserve"> - ห้องสุขาผู้สูง'อายุ   จำนวน 61 ห้อง</t>
  </si>
  <si>
    <t xml:space="preserve"> - เตียงผู้ป่วยปรับระดับได้ จำนวน 166 เตียง</t>
  </si>
  <si>
    <t xml:space="preserve"> - รถเข็นนั่ง จำนวน 830 คัน</t>
  </si>
  <si>
    <t>งบประมาณรวม</t>
  </si>
  <si>
    <t>ชื่อโครงการ/กิจกรรม</t>
  </si>
  <si>
    <t>ประเด็นยุทธศาสตร์ที่ 1 พัฒนาการตลาด ระบบ Logistics และการผลิตอาหารปลอดภัย</t>
  </si>
  <si>
    <t>สำนักงานพลังงาน
จังหวัดอ่างทอง</t>
  </si>
  <si>
    <t>โครงการส่งเสริมพลังงานทดแทนและการอนุรักษ์พลังงานแก่ชุมชน OTOP/วิสาหกิจชุมชน/กลุ่มเกษตรกร</t>
  </si>
  <si>
    <t>ประเด็นยุทธศาสตร์ที่ 2 สร้างมูลค่าเพิ่มทางการท่องเที่ยวจากฐานความรู้
ทางประวัติศาสตร์ ศิลปวัฒนธรรม และภูมิปัญญาท้องถิ่น</t>
  </si>
  <si>
    <t>โครงการพัฒนาแหล่งท่องเที่ยววิถีไทยลุ่มเจ้าพระยา-ป่าสัก</t>
  </si>
  <si>
    <t>โครงการพัฒนาเศรษฐกิจสร้างสรรค์เพื่อเพิ่มมูลค่าด้านการท่องเที่ยว</t>
  </si>
  <si>
    <t>ประเด็นยุทธศาสตร์ที่ 3 การบริหารจัดการน้ำแบบบูรณาการ</t>
  </si>
  <si>
    <t>โครงการป้องกันแก้ไขปัญหาคุณภาพน้ำในแม่น้ำสายหลัก</t>
  </si>
  <si>
    <t>สนง.การท่องเที่ยวและกีฬาจังหวัด</t>
  </si>
  <si>
    <t>1 โครงการเสริมสร้างความปลอดภัยในชีวิตและทรัพย์สิน</t>
  </si>
  <si>
    <t>1.1 รักษาความมั่นคงภายใน</t>
  </si>
  <si>
    <t>1.2 ป้องกันและแก้ไขปัญหายาเสพติด</t>
  </si>
  <si>
    <t>1.2.1 No Place For Drug</t>
  </si>
  <si>
    <t>1.2.3 ค่ายพัฒนาคุณธรรม</t>
  </si>
  <si>
    <t>1.2.4 ค่ายทักษะชีวิต</t>
  </si>
  <si>
    <t>1.2.5 ประกวดแข่งขัน To Be Number One</t>
  </si>
  <si>
    <t>1.2.6 มหกรรมรวมพลสมาชิกชมรม To Be Number One จังหวัดอ่างทอง</t>
  </si>
  <si>
    <t>1.2.7 ขับเคลื่อนชมรม To Be Number One</t>
  </si>
  <si>
    <t>1.2.9 ค่ายปรับเปลี่ยนพฤติกรรม (ศูนย์ขวัญแผ่นดิน)</t>
  </si>
  <si>
    <t>1.2.12 พัฒนาศักยภาพด้านการบำบัดรักษาและฟื้นฟูสมรรถภาพและติดตามผู้ผ่านการบำบัดรักษา</t>
  </si>
  <si>
    <t>1.2.11 ป้องกันและแก้ไขปัญหายาเสพติดในสถานประกอบการ</t>
  </si>
  <si>
    <t>1.3 ป้องกันและแก้ไขปัญหาอาชญกรรม</t>
  </si>
  <si>
    <t>1.4 ป้องกันและแก้ไขปัญหาอุบัติเหตุจราจร</t>
  </si>
  <si>
    <t>1.5 ป้องกันและแก้ไขปัญหาการค้ามนุษย์</t>
  </si>
  <si>
    <t>1.3.1 พัฒนาศักยภาพอาสาสมัครตำรวจบ้าน</t>
  </si>
  <si>
    <t>1.4.1 พัฒนาศักยภาพอาสาสมัครจราจร</t>
  </si>
  <si>
    <t>1.5.1 จัดระเบียบสังคม</t>
  </si>
  <si>
    <t>2 โครงการส่งเสริมความเข้มแข็งของครอบครัว และชุมชน</t>
  </si>
  <si>
    <t>2.1ส่งเสริมและพัฒนาศักยภาพเด็กเยาวชน สตรี ผู้สูงอายุ และคนพิการ</t>
  </si>
  <si>
    <t>2.1.1 ส่งเสริมการประกอบอาชีพแก่ผู้สูงอายุ</t>
  </si>
  <si>
    <t>3 โครงการส่งเสริมอาชีพ สร้างโอกาส สร้างรายได้ ของประชาชน</t>
  </si>
  <si>
    <t>3.1 ส่งเสริมคุณภาพชีวิตตามแนวพระราชดำริ</t>
  </si>
  <si>
    <t>3.1.1 ขยายความคุ้มครองหลักประกันสังคมและส่งเสริมด้านอาชีวอนามัยและความปลอดภัยในการทำงานแก่แรงงานนอกระบบ</t>
  </si>
  <si>
    <t>3.1.2 พัฒนาทักษะและฝึกทักษะและฝึกอบรมด้านอาชีพให้แก่ประชาชน จำนวน 100 คน</t>
  </si>
  <si>
    <t>3.2 พอเพียงเพื่อพ่อ</t>
  </si>
  <si>
    <t>3.1.6 ส่งเสริมการเลี้ยงปลาสวยงามตามรอยเท้าพ่อ</t>
  </si>
  <si>
    <t>3.2.1 ขยายผลการพัฒนาหมู่บ้านเศรษฐกิจพอเพียง</t>
  </si>
  <si>
    <t>4 โครงการส่งเสริมการมีสุขภาวะที่ดีของประชาชน</t>
  </si>
  <si>
    <t>4.1 ส่งเสริมสุขภาพและอนามัยของประชาชน</t>
  </si>
  <si>
    <t>4.1.1 ส่งเสริมพัฒนาคุณภาพชีวิตที่ดีให้แก่แรงงานนอกระบบ (กลุ่มแรงงานภาคเกษตรและผู้รับงานไปทำที่บ้าน)</t>
  </si>
  <si>
    <t>4.1.2 ส่งเสริมการมีสุขภาวะที่ดีของประชาชน</t>
  </si>
  <si>
    <t>4.1.3 พัฒนาสุขาภิบาลอาหาร</t>
  </si>
  <si>
    <t>5 โครงการปรับปรุงและพัฒนาโครงสร้างพื้นฐาน</t>
  </si>
  <si>
    <t xml:space="preserve">5.1 ก่อสร้างและปรับปรุงเส้นทางคมนาคม </t>
  </si>
  <si>
    <t>5.2 ก่อสร้างและปรับปรุงระบบสาธารณูปโภคขั้นพื้นฐาน (ไฟฟ้า,ประปา)</t>
  </si>
  <si>
    <t>5.3 ก่อสร้างและปรับปรุงสะพาน</t>
  </si>
  <si>
    <t>6  โครงการบริหารจัดการน้ำแบบบูรณาการ</t>
  </si>
  <si>
    <t>6.1 พัฒนาและปรับปรุงแหล่งน้ำ</t>
  </si>
  <si>
    <t>6.1.4 ปรับปรุงห้วยงู พร้อมอาคารประกอบ ตำบลป่างิ้ว อำเภอเมืองอ่างทอง จังหวัดอ่างทอง</t>
  </si>
  <si>
    <t>7. โครงการรักษาสมดุลธรรมชาติสิ่งแวดล้อมและพลังงาน</t>
  </si>
  <si>
    <t>7.1 บริหารจัดการขยะและของเสียอันตรายอย่างมีส่วนร่วม</t>
  </si>
  <si>
    <t>7.2 ป้องกันและแก้ไขปัญหาคุณภาพน้ำในแหล่งน้ำธรรมชาติ</t>
  </si>
  <si>
    <t>7.1.1 หนึ่งองค์กรปกครองส่วนท้องถิ่น หนึ่งธนาคารขยะ</t>
  </si>
  <si>
    <t>7.2.1 ป้องกันและแก้ไขปัญหาคุณภาพแม่น้ำเจ้าพระยาและแม่น้ำน้อย</t>
  </si>
  <si>
    <t>7.2.2 พัฒนาระบบนิเวศทางน้ำสร้างความสมดุลคืนสู่ชุมชนอย่างยั่งยืน</t>
  </si>
  <si>
    <t>7.3 อ่างทองเมืองสีเขียว</t>
  </si>
  <si>
    <t>3.1.1 ส่งเสริมและสนับสนุนการผลิตพืชปลอดภัยจากสารพิษ (มะม่วง กล้วยหอมทอง เมล่อน และผัก)</t>
  </si>
  <si>
    <t>3.1.2 ส่งเสริมการผลิตอาหารปลอดภัย "โรงเรียนเกษตรทำนา"</t>
  </si>
  <si>
    <t>5.1 เชื่อมโยงตลาดและสร้างเครือข่ายการค้าทั้งในระดับประเทศและต่างประเทศ</t>
  </si>
  <si>
    <t>5.1.1 จัดแสดงและจำหน่ายสินค้าในประเทศ in store promotion/business matching ในต่างจังหวัด</t>
  </si>
  <si>
    <t xml:space="preserve">3.1.11 งานมหกรรมกินกุ้งใหญ่ กินไข่นกกระทา กินผักปลาปลอดสารพิษ  </t>
  </si>
  <si>
    <t>4. โครงการส่งเสริมการประชาสัมพันธ์เชิงรุกด้านการท่องเที่ยว</t>
  </si>
  <si>
    <t>4.1 จัดทำสื่อประชาสัมพันธ์เชิงรุก</t>
  </si>
  <si>
    <t>4.1.1 จัดทำสื่อประชาสัมพันธ์เชิงรุก</t>
  </si>
  <si>
    <t>4.2 ส่งเสริมกิจกรรมไหว้พระ 5 ที่สุด และของดีเมืองอ่างทอง</t>
  </si>
  <si>
    <t>2.1 สนับสนุนเทคโนโลยีพลังงานทดแทนและอนุรักษ์พลังงานในกระบวนการผลิต</t>
  </si>
  <si>
    <t>3.1 Road Show การท่องเที่ยวและสุดยอด OTOP</t>
  </si>
  <si>
    <t>5.1 พัฒนาผลิตภัณฑ์ของฝากของที่ระลึกกลุ่มจังหวัด</t>
  </si>
  <si>
    <t>6.1 พัฒนาเครือข่ายการท่องเที่ยวชุมชน</t>
  </si>
  <si>
    <t>บัญชีโครงการพัฒนาจังหวัด</t>
  </si>
  <si>
    <t xml:space="preserve">ที่ได้รับจัดสรรงบประมาณ ประจำปีงบประมาณ พ.ศ. 2561  </t>
  </si>
  <si>
    <t>บัญชีโครงการพัฒนาภาค แผนงานบูรณาการเสริมสร้างความเข้มแข็งและยั่งยืนให้กับเศรษฐกิจภายในประเทศ</t>
  </si>
  <si>
    <t>ที่ได้รับจัดสรรงบประมาณ ประจำปีงบประมาณ พ.ศ. 2561</t>
  </si>
  <si>
    <t>บัญชีโครงการพัฒนากลุ่มจังหวัด</t>
  </si>
  <si>
    <t>อำเภอป่าโมก</t>
  </si>
  <si>
    <t xml:space="preserve"> อำเภอไชโย</t>
  </si>
  <si>
    <t>สำนักงานประมงจังหวัด</t>
  </si>
  <si>
    <t xml:space="preserve"> - อำเภอสามโก้
 - อำเภอป่าโมก</t>
  </si>
  <si>
    <t xml:space="preserve"> - ที่ทำการปกครองจังหวัด
 - อำเภอสามโก้</t>
  </si>
  <si>
    <t xml:space="preserve">  - งบดำเนินงาน</t>
  </si>
  <si>
    <t xml:space="preserve"> - งบดำเนินงาน</t>
  </si>
  <si>
    <t>สถานะโครงการ</t>
  </si>
  <si>
    <t>สัญญา เริ่มต้น-สิ้นสุด</t>
  </si>
  <si>
    <t>วงเงินในสัญญาจ้าง</t>
  </si>
  <si>
    <t>เหลือจ่ายจากการก่อหนี้ผูกพัน</t>
  </si>
  <si>
    <t>ผลการดำเนินงาน</t>
  </si>
  <si>
    <t>ผลการเบิกจ่าย</t>
  </si>
  <si>
    <t>เบิกจ่าย
(บาท)</t>
  </si>
  <si>
    <t>คงเหลือ
(บาท)</t>
  </si>
  <si>
    <t>ร้อยละ</t>
  </si>
  <si>
    <t>5.2.6 ก่อสร้างระบบประปาหมู่บ้านแบบบาดาลขนาดใหญ่  หมู่ที่ 1 ตำบลรำมะสัก อำเภอโพธิ์ทอง จังหวัดอ่างทอง</t>
  </si>
  <si>
    <t>5.2.7 ก่อสร้างระบบประปาหมู่บ้านแบบบาดาลขนาดใหญ่ หมู่ที่ 8 ตำบลบ้านพราน อำเภอแสวงหา จังหวัดอ่างทอง</t>
  </si>
  <si>
    <t>5.3.1 ก่อสร้างสะพานคอนกรีตเสริมเหล็ก หมู่ที่ 5 
ตำบลชัยฤทธิ์ อำเภอไชโย จังหวัดอ่างทอง</t>
  </si>
  <si>
    <t>5.3.2 ก่อสร้างสะพานคอนกรีตเสริมเหล็ก หมู่ที่ 7 
ตำบลราชสถิตย์ อำเภอไชโย จังหวัดอ่างทอง</t>
  </si>
  <si>
    <t>5.3.3 ก่อสร้างสะพานคอนกรีตเสริมเหล็ก หมู่ที่ 2 
ตำบลรำมะสัก อำเภอโพธิ์ทอง จังหวัดอ่างทอง</t>
  </si>
  <si>
    <t>5.3.4 ก่อสร้างสะพานคอนกรีตเสริมเหล็ก หมู่ที่ 10 
ตำบลรำมะสัก อำเภอโพธิ์ทอง จังหวัดอ่างทอง</t>
  </si>
  <si>
    <t>5.3.5 ก่อสร้างสะพานคอนกรีตเสริมเหล็ก หมู่ที่ 4 
ตำบลจำลอง อำเภอแสวงหา จังหวัดอ่างทอง</t>
  </si>
  <si>
    <t>6.1.1 ปรับปรุงคลองลาดม้า พร้อมอาคารประกอบ 
ตำบลศาลาแดง อำเภอเมืองอ่างทอง จังหวัดอ่างทอง</t>
  </si>
  <si>
    <t>6.1.2 ปรับปรุงหนองลาดตะเพียน พร้อมอาคารประกอบ ตำบลป่างิ้ว อำเภอเมืองอ่างทอง จังหวัดอ่างทอง</t>
  </si>
  <si>
    <t>6.1.3 ปรับปรุงหนองเกาะ พร้อมอาคารประกอบ 
ตำบลป่างิ้ว อำเภอเมืองอ่างทอง จังหวัดอ่างทอง</t>
  </si>
  <si>
    <t>6.1.5 ปรับปรุงหนองเบิกไพร พร้อมอาคารประกอบ 
ตำบลไผ่ดำพัฒนา อำเภอวิเศษชัยชาญ จังหวัดอ่างทอง</t>
  </si>
  <si>
    <t xml:space="preserve">4.1 ปรับปรุงภูมิทัศน์และสิ่งอำนวยความสะดวก 
ณ วัดขุนอินทประมูล </t>
  </si>
  <si>
    <t>โครงการเสริมสร้างศักยภาพบุคลากรและองค์กรด้านการท่องเที่ยวกลุ่มจังหวัด เพื่อสร้างมูลค่าเพิ่ม</t>
  </si>
  <si>
    <t>โครงการเพิ่มประสิทธิภาพการบริหารจัดการยุทธศาสตร์การพัฒนาจังหวัดแบบบูรณาการจังหวัดอ่างทอง</t>
  </si>
  <si>
    <t>ประจำปีงบประมาณ 2561 งบประมาณ 8 ล้านบาท</t>
  </si>
  <si>
    <r>
      <rPr>
        <b/>
        <sz val="16"/>
        <rFont val="TH SarabunPSK"/>
        <family val="2"/>
      </rPr>
      <t>1. การจัดประชุมหารือเพื่อจัดทำแผนการพัฒนาจังหวัด และกลุ่มจังหวัดกับภาคส่วนต่าง ๆ ตามมาตรา 53/1 และมาตรา 53/2 แห่งพระราชบัญญัติระเบียบบริหารราชการแผ่นดิน พ.ศ. 2534 และที่แก้ไขเพิ่มเติม</t>
    </r>
    <r>
      <rPr>
        <b/>
        <u/>
        <sz val="16"/>
        <rFont val="TH SarabunPSK"/>
        <family val="2"/>
      </rPr>
      <t xml:space="preserve">
</t>
    </r>
  </si>
  <si>
    <t>1.1 กิจกรรมบริหารจัดการแผนพัฒนาจังหวัดอ่างทอง ประจำปีงบประมาณ พ.ศ. 2561</t>
  </si>
  <si>
    <t>(2) ดำเนินการจัดทำแผนปฏิบัติราชการประจำปีของจังหวัดอ่างทองปี 2562</t>
  </si>
  <si>
    <t>(3) ดำเนินงานตามตัวชี้วัดคำรับรองปฏิบัติราชการ</t>
  </si>
  <si>
    <t>(4) ค่าวัสดุสำนักงาน ค่าวิทยากรค่าอาหารจัดประชุม ค่าจ้างเหมาจัดทำเอกสาร และงานอำนวยการแผนพัฒนาจังหวัด</t>
  </si>
  <si>
    <t>(5) ค่าเดินทางไปราชการ/ค่าอาหารปฏิบัติงานล่วงเวลา</t>
  </si>
  <si>
    <t>2.1 กิจกรรมอำนวยการประชุมคณะกรรมการบริหารงานจังหวัดแบบบูรณาการ (ก.บ.จ.) คณะกรรมการบริหารงานกลุ่มจังหวัดแบบบูรณาการ (ก.บ.ก.) และคณะกรรมการร่วมภาครัฐและเอกชนเพื่อแก้ไขปัญหาเศรษฐกิจของจังหวัด(กรอ.จังหวัด)ประจำปีงบประมาณ พ.ศ. 2561</t>
  </si>
  <si>
    <t>(1) ค่าเบี้ยประชุมคณะกรรมการ ก.บ.จ.อ่างทอง</t>
  </si>
  <si>
    <t>(2) ค่าอาหารว่างและเครื่องดื่ม</t>
  </si>
  <si>
    <t>(3) ค่าจ้างเหมาจัดทำเอกสาร</t>
  </si>
  <si>
    <t>(4) ค่าเดินทางไปราชการ</t>
  </si>
  <si>
    <t>3. การจัดการศึกษาเพื่อพัฒนายุทธศาสตร์จังหวัด/กลุ่มจังหวัด</t>
  </si>
  <si>
    <t xml:space="preserve">3.1 กิจกรรมดำเนินการขับเคลื่อนยุทธศาสตร์การพัฒนาจังหวัดอ่างทอง (อ่างทองครัวกรุงเทพ และ 5 ที่สุดสิ่งศักดิ์สิทธิ์)
</t>
  </si>
  <si>
    <t>4. การพัฒนาประสิทธิภาพในการบริหารจัดการ</t>
  </si>
  <si>
    <t>(1) ค่าน้ำมันเชื้อเพลิงผวจ. 12*20,000 บาท 
รอง ผวจ. 2*12*13,000 บาท สนจ. 12*24,000 บาท</t>
  </si>
  <si>
    <t>(2) ค่าวัสดุสำนักงาน 12*25,000 บาท</t>
  </si>
  <si>
    <t>(3) ค่าเดินทางไปราชการ</t>
  </si>
  <si>
    <t>(4) ค่าซ่อมแซมครุภัณฑ์สำนักงาน</t>
  </si>
  <si>
    <t>(5) ค่าซ่อมแซมรถยนต์</t>
  </si>
  <si>
    <t>(6) ค่าวิทยากร ค่าอาหารจัดประชุมค่าจ้างเหมาจัดทำเอกสาร และงานอำนวยการบูรณาการทั่วไปของจังหวัด</t>
  </si>
  <si>
    <t>4.2 กิจกรรมจัดหาบุคลากรเพื่อสนับสนุนการบริหารจัดการตามยุทธศาสตร์
การพัฒนาจังหวัดอ่างทองประจำปีงบประมาณ พ.ศ. 2561 (7 คน)</t>
  </si>
  <si>
    <t>(1) วุฒิปริญาตรีช่วยงานการเงินงบประจำ (ประสบการณ์มากกว่า 2 ปี) 1 คนๆ ละ 12 เดือนๆ ละ 15,000 บาท</t>
  </si>
  <si>
    <t>(2) วุฒิปริญาตรีช่วยงานการเงินงบจังหวัดกลุ่มจังหวัด(ประสบการณ์น้อยกว่า 1 ปี) 1 คนๆ ละ 12 เดือนๆ ละ 13,000 บาท</t>
  </si>
  <si>
    <t>(3) วุฒิปริญาตรีช่วยงานระบบเอกสารอิเลคทรอนิกส์และบริหารงานทั่วไป (ประสบการณ์มากกว่า 2ปี) 1 คนๆ ละ 12 เดือนๆ ละ 15,000 บาท</t>
  </si>
  <si>
    <t>(4) วุฒิปริญาตรีช่วยงานยุทธศาสตร์ (ประสบการณ์มากกว่า 2 ปี) 1 คนๆ 
ละ 12 เดือนๆ ละ 15,000 บาท</t>
  </si>
  <si>
    <t>(5) วุฒิ ปวส.ช่วยงานธุรการทั่วไป 1 คนๆ ละ 12 เดือนเดือนละ 11,000 บาท</t>
  </si>
  <si>
    <t>(6) วุฒิ ปวส. ขับรถยนต์ 2 คนๆ ละ 12 เดือนๆ ละ 11,500 บาท</t>
  </si>
  <si>
    <t>4.4 กิจกรรมของส่วนราชการที่ได้รับอนุมัติจากผู้ว่าราชการจังหวัดอ่างทอง</t>
  </si>
  <si>
    <t xml:space="preserve">5.การเผยแพร่ประชาสัมพันธ์เพื่อให้เกิดความรู้ความเข้าใจแก่ภาคส่วนต่างๆ 
เพื่อเข้ามามีส่วนร่วมในการจัดทำแผน รวมทั้งเพื่อสนับสนุนเพื่อขับเคลื่อน
การดำเนินการตามแผน
</t>
  </si>
  <si>
    <t>6. การติดตามประเมินผล</t>
  </si>
  <si>
    <t xml:space="preserve">6.1 กิจกรรมค่าใช้จ่ายในการติดตามประเมินผลการดำเนินงานตามแผนพัฒนาจังหวัดอ่างทอง
</t>
  </si>
  <si>
    <t>(1) ค่าวัสดุสำนักงาน 12*20,000 บาท</t>
  </si>
  <si>
    <t>(2) ค่าเดินทางไปราชการ</t>
  </si>
  <si>
    <t>(3) ค่าซ่อมแซมครุภัณฑ์สำนักงาน</t>
  </si>
  <si>
    <t>(4) ซ่อมแซมเครื่องยนต์</t>
  </si>
  <si>
    <t>(5) ค่าวิทยากร ค่าอาหารจัดประชุมค่าจ้างเหมาจัดทำเอกสาร และงานอำนวยการติดตามยุทธศาสตร์ของจังหวัด</t>
  </si>
  <si>
    <t>(2) โครงการอบรมจิตอาสาเฉพาะกิจงานถวายพระเพลิงพระบรมศพ 
" จิตอาสางานรักษาความปลอดภัย และงานจราจร " จังหวัดอ่างทอง</t>
  </si>
  <si>
    <t>สนง.วัฒนธรรมจังหวัดอ่างทอง</t>
  </si>
  <si>
    <t>ตำรวจภูธรจังหวัดอ่างทอง</t>
  </si>
  <si>
    <t>สนง.จังหวัดอ่างทอง</t>
  </si>
  <si>
    <t xml:space="preserve">2. การจัดประชุม ก.บ.จ. หรือ กรอ.จังหวัด
</t>
  </si>
  <si>
    <t xml:space="preserve"> - เครื่องจับพิกัด GPS </t>
  </si>
  <si>
    <t>(6) ค่าเช่าเครื่องถ่ายเอกสาร 1 เครื่องๆ ละ 12 เดือนๆ ละ 13,000 บาท</t>
  </si>
  <si>
    <t>5.2.1 ก่อสร้างระบบประปาหมู่บ้านแบบบาดาลขนาดใหญ่ หมู่ที่ 10 ตำบลยางช้าย อำเภอโพธิ์ทอง จังหวัดอ่างทอง</t>
  </si>
  <si>
    <t>โครงการส่งเสริมและสนับสนุนเทคโนโลยีพลังงานทดแทนในนาแปลงใหญ่และกลุ่มเกษตรปลอดภัย</t>
  </si>
  <si>
    <t xml:space="preserve"> - ระบบสูบน้ำพลังงานแสงอาทิตย์ขนาด 25 กิโลวัตต์</t>
  </si>
  <si>
    <t xml:space="preserve"> - ระบบสูบน้ำพลังงานแสงอาทิตย์ขนาด 3 กิโลวัตต์</t>
  </si>
  <si>
    <t xml:space="preserve"> - ค่าเตา LPG ประสิทธิภาพสูง ขนาด 5 นิ้ว</t>
  </si>
  <si>
    <t xml:space="preserve"> - ค่าเตา LPG ประสิทธิภาพสูง ขนาด 8 นิ้ว</t>
  </si>
  <si>
    <t xml:space="preserve"> - ระบบอบแห้งพลังงานแสงอาทิตย์</t>
  </si>
  <si>
    <t>1.1 สนับสนุนเทคโนโลยีสูบน้ำพลังงานแสงอาทิตย์</t>
  </si>
  <si>
    <t>โครงการส่งเสริมการตลาดและประชาสัมพันธ์การท่องเที่ยว
เชิงรุก</t>
  </si>
  <si>
    <t>ผู้รับจ้าง</t>
  </si>
  <si>
    <t xml:space="preserve">7.1 ก่อสร้างระบบบำบัดน้ำเสียพลังงานแสงอาทิตย์ (Solar Cell)/ไม่ใช้พลังงานแสงอาทิตย์ (non Solar Cell) แบบกลุ่มอาคาร ชนิดถังสำเร็จรูป (ขนาด 50 ลบ.ม./วัน หรือ 80 ลบ.ม./วัน) </t>
  </si>
  <si>
    <t xml:space="preserve"> - อุปกรณ์ออกกำลังกายในชมรมผู้สูงอายุ จำนวน 
180 ชุด</t>
  </si>
  <si>
    <t xml:space="preserve">  - งบลงทุน</t>
  </si>
  <si>
    <t>สนง.สวัสดิการและคุ้มครองแรงงานจังหวัด</t>
  </si>
  <si>
    <t>สนง.พระพุทธศาสนาจังหวัด</t>
  </si>
  <si>
    <t>1.2.2 รณรงค์ป้องกันและแก้ไขปัญหายาเสพติด 
(To Be Number One) ในสถานพินิจและคุ้มครองเด็กและเยาวชนจังหวัดอ่างทอง</t>
  </si>
  <si>
    <t>3.1.4 ส่งเสริมและพัฒนาฟาร์มตัวอย่างตามพระราชดำริ ในสมเด็จพระนางเจ้าฯ พระบรมราชินีนาถ 
หนองระหารจีน ตำบลบ้านอิฐ อำเภอเมืองอ่างทอง จังหวัดอ่างทอง</t>
  </si>
  <si>
    <t>5.1.1 ปรับปรุงถนนแอสฟัลท์ติกคอนกรีตทางเข้า-ออกศูนย์กำจัดมูลฝอยรวมเทศบาลเมืองอ่างทอง หมู่ที่ 3 
ตำบลเทวราช อำเภอไชโย จังหวัดอ่างทอง</t>
  </si>
  <si>
    <t>5.1.2 ปรับปรุงถนนแอสฟัลท์ติกคอนกรีต พร้อมท่อ
ระบายน้ำและบ่อพัก คสล. ถนนเทศบาล 5 
อำเภอเมืองอ่างทอง จังหวัดอ่างทอง</t>
  </si>
  <si>
    <t>5.1.3 ก่อสร้างถนนคอนกรีตเสริมเหล็กหมู่ที่ 1 หมู่ที่ 2 เชื่อมต่อหมู่ที่ 3 ตำบลราชสถิตย์ อำเภอไชโย 
จังหวัดอ่างทอง</t>
  </si>
  <si>
    <t>5.1.4 ก่อสร้างถนนคอนกรีตเสริมเหล็กหมู่ที่ 3 
ตำบลวังน้ำเย็น อำเภอแสวงหา เชื่อมต่อ หมู่ที่ 10 
ตำบลรำมะสัก อำเภอโพธิ์ทอง จังหวัดอ่างทอง</t>
  </si>
  <si>
    <t xml:space="preserve">5.2.2 ก่อสร้างระบบประปาหมู่บ้านแบบบาดาลขนาดใหญ่ หมู่ที่ 5 ตำบลตลาดใหม่ อำเภอวิเศษชัยชาญ 
จังหวัดอ่างทอง  </t>
  </si>
  <si>
    <t xml:space="preserve">5.2.5 ก่อสร้างระบบประปาหมู่บ้านแบบบาดาลขนาดใหญ่ หมู่ที่ 5  ตำบลมหาดไทย อำเภอเมืองอ่างทอง 
จังหวัดอ่างทอง  </t>
  </si>
  <si>
    <t xml:space="preserve">7.3.1 ปรับปรุงภูมิทัศน์บริเวณหน้าศาลากลาง
จังหวัดอ่างทอง </t>
  </si>
  <si>
    <t>(4) โครงการแสดงความจงรักภักดีถวายเป็นพระราชกุศลแด่พระปรมินทรมหาภูมิพลอดุลยเดช บรมนาถบพิตร เนื่องในโอกาสเสด็จสวรรคตครบ 1 ปี</t>
  </si>
  <si>
    <t>ยกเลิกโครงการ</t>
  </si>
  <si>
    <t xml:space="preserve"> - จัดซื้อจุลินทรีย์ปรับปรุงคุณภาพน้ำ</t>
  </si>
  <si>
    <t>งบประมาณ 31,947,700 บาท (สามสิบเอ็ดล้านเก้าแสนสี่หมื่นเจ็ดพันเจ็ดร้อยบาทถ้วน)</t>
  </si>
  <si>
    <t>งบประมาณ 49,000,000 บาท (สี่สิบเก้าล้านบาทถ้วน)</t>
  </si>
  <si>
    <t>งบประมาณ 185,832,900 บาท (หนึ่งร้อยแปดสิบห้าล้านแปดแสนสามหมื่นสองพันเก้าร้อยบาทถ้วน)</t>
  </si>
  <si>
    <t xml:space="preserve"> - จัดซื้ออาหารเสริมวิตามินซี และวิตามินรวม จำนวน 9 ชุด</t>
  </si>
  <si>
    <t xml:space="preserve"> - จัดซื้อยาฆ่าเชื้อและกำจัดปรสิตภายนอก จำนวน 9 ชุด</t>
  </si>
  <si>
    <t xml:space="preserve"> - สาธิตการใช้ปุ๋ยพืชสด การทำปุ๋ยหมักและการทำน้ำหมักชีวภาพ</t>
  </si>
  <si>
    <t>สถานีพัฒนาที่ดิน</t>
  </si>
  <si>
    <t>1.1.1 พัฒนาปัจจัยสนับสนุนภาคการท่องเที่ยวและการบริการ
 - จัดทำป้ายบอกเส้นทางในแหล่งท่องเที่ยว</t>
  </si>
  <si>
    <t>แขวงทางหลวงชนบทอ่างทอง</t>
  </si>
  <si>
    <t xml:space="preserve"> - พัฒนาแหล่งท่องเที่ยวบางเสด็จ ก่อสร้างอาคารเรือนไทยเชื่อมศูนย์ตุ๊กตาชาววัง</t>
  </si>
  <si>
    <t xml:space="preserve"> - พัฒนาแหล่งท่องเที่ยวเพื่อคนทั้งมวล ณ วัดไชโยวรวิหาร ทาสีเส้นที่จอดรถคนพิการ ป้ายชี้ทาง จุดแวะพักทางลาด และทางลง</t>
  </si>
  <si>
    <t>แขวงทางหลวงอ่างทอง</t>
  </si>
  <si>
    <t>สนง.สถิติจังหวัดอ่างทอง</t>
  </si>
  <si>
    <t>เหลือจ่ายส่งคืน</t>
  </si>
  <si>
    <t xml:space="preserve"> - ปรับสภาพบ้านผู้สูงอายุ จำนวน 600 หลัง</t>
  </si>
  <si>
    <t xml:space="preserve">5.1 กิจกรรมของส่วนราชการที่ได้รับอนุมัติจากผู้ว่าราชการจังหวัด
</t>
  </si>
  <si>
    <t>(1) โครงการค่ายครอบครัว " สานใจไทยสู่ใจใต้ " รุ่นที่ 31</t>
  </si>
  <si>
    <t>(3) โครงการปรับปรุงสถานที่บริการและอำนวยความสะดวก แก่ประชาชน ในพิธีถวายดอกไม้จันทร์ จังหวัดอ่างทอง</t>
  </si>
  <si>
    <t>(5) โครงการ "หน่วยบำบัดทุกข์ บำรุงสุขสร้างรอยยิ้มให้ประชาชน" เพื่อเสริมสร้างความเข้าใจ ของประชาชนในการดำเนินงานตามยุทธศาสตร์การพัฒนาจังหวัดอ่างทอง ประจำปีงบประมาณ พ.ศ. 2561</t>
  </si>
  <si>
    <t>ที่ทำการปกครองจังหวัดอ่างทอง</t>
  </si>
  <si>
    <t xml:space="preserve"> - รถรางชมวิวระบบเชื้อเพลิงเบนซิน ขนาดไม่น้อยกว่า 
23 ที่นั่ง</t>
  </si>
  <si>
    <t>สนง.ทรัพยากรธรรมชาติและสิ่งแวดล้อมจังหวัด</t>
  </si>
  <si>
    <t>3.1.5 ส่งเสริมและพัฒนาพื้นที่แก้มลิงหนองเจ็ดเส้น 
อันเนื่องมาจากพระราชดำริ ตำบลหัวไผ่ 
อำเภอเมืองอ่างทอง ตำบลสายทอง อำเภอป่าโมก 
จังหวัดอ่างทอง</t>
  </si>
  <si>
    <t>สนง.ทรัพยากรธรรมชาติและสิ่งแวดล้อม</t>
  </si>
  <si>
    <t>(1) โครงการจัดทำป้ายประชาสัมพันธ์ "โครงการตลาดประชารัฐ" 
จังหวัดอ่างทอง</t>
  </si>
  <si>
    <t>(2) โครงการผู้ว่าพบประชาชน ประจำปีงบประมาณ พ.ศ.2561 ภายใต้โครงการเพิ่มประสิทธิภาพการบริหารจัดการยุทธศาสตร์การพัฒนาจังหวัดแบบบูรณาการจังหวัดอ่างทอง ประจำปีงบประมาณ พ.ศ.2561</t>
  </si>
  <si>
    <t xml:space="preserve"> กิจกรรมพัฒนาระบบข้อมูลสารสนเทศและการสื่อสารเพื่อการบริหารจัดการยุทธศาสตร์การพัฒนาจังหวัด 100,000 + กิจกรรมอำนวยการบริหารงานจังหวัดแบบบูรณาการจังหวัดอ่างทองประจำปีงบประมาณ พ.ศ. ๒๕61 จำนวน 5,1000</t>
  </si>
  <si>
    <t>4.3 โครงการติดตั้งระบบกล้องโทรทัศน์วงจรปิด CCTV บริเวณพระเมรุมาศจำลอง และบริเวณศาลากลางจังหวัดอ่างทอง</t>
  </si>
  <si>
    <t>(6) โครงการฝึกอบรมเชิงปฏิบัติการ "การจัดซื้อจัดจ้างด้วยวิธีการทางอิเล็กทรอนิกส์ (Electronic Government Procurement : e-GP)"</t>
  </si>
  <si>
    <t>สนง.คลังจังหวัดอ่างทอง</t>
  </si>
  <si>
    <t xml:space="preserve">  - อำเภอ 7 อำเภอ</t>
  </si>
  <si>
    <t xml:space="preserve">  - สพม.เขต 5</t>
  </si>
  <si>
    <t xml:space="preserve">  - สพป.อ่างทอง</t>
  </si>
  <si>
    <t xml:space="preserve">  - สถานประกอบการ</t>
  </si>
  <si>
    <t xml:space="preserve">  - เรือนจำ</t>
  </si>
  <si>
    <t xml:space="preserve">  - คุมประพฤติจังหวัด</t>
  </si>
  <si>
    <t xml:space="preserve">  - วิทยาลัยนาฏศิลปอ่างทอง</t>
  </si>
  <si>
    <t>เริ่ม 25 ต.ค.60 สิ้นสุด 22 เม.ย.61</t>
  </si>
  <si>
    <t>หจก.ภัสสรชัยมงคล</t>
  </si>
  <si>
    <t>เริ่ม 10 พ.ย. .60 สิ้นสุด 7 ก.พ. 61</t>
  </si>
  <si>
    <t>หจก.เยี่ยมบุญชัย 94</t>
  </si>
  <si>
    <t>เริ่ม 8 พ.ย. .60 สิ้นสุด 22 ธ.ค. 60</t>
  </si>
  <si>
    <t>หจก.อ่างทองพัฒนา</t>
  </si>
  <si>
    <t>เริ่ม 18 ต.ค. 60 สิ้นสุด 14 ก.พ. 61</t>
  </si>
  <si>
    <t>หจก.นาคราชการโยธา</t>
  </si>
  <si>
    <t>เริ่ม 21 ต.ค. 60 สิ้นสุด 18 เม.ย. 61</t>
  </si>
  <si>
    <t>เริ่ม 9 พ.ย. 60 สิ้นสุด 7 พ.ค. 61</t>
  </si>
  <si>
    <t>กิจการร่วมค้าดัดประดิษฐ์ก่อสร้างและตระกูลดีอ้นการค้า</t>
  </si>
  <si>
    <t>เริ่ม 10 พ.ย. 60 สิ้นสุด 9 มี.ค. 61</t>
  </si>
  <si>
    <t>หจก.ศรณรงค์ก่อสร้าง</t>
  </si>
  <si>
    <t>เริ่ม 21 พ.ย. 60 สิ้นสุด 19 เม.ย. 61</t>
  </si>
  <si>
    <t>เริ่ม 9 พ.ย. 60 สิ้นสุด 8 พ.ค. 61</t>
  </si>
  <si>
    <t>หจก.มหาราชชัยมงคล</t>
  </si>
  <si>
    <t>เริ่ม 18 พ.ย. 60 สิ้นสุด 27 พ.ค. 61</t>
  </si>
  <si>
    <t>ร้านอารีย์ก่อสร้าง</t>
  </si>
  <si>
    <t>อยู่ระหว่างประกาศประกวดราคา</t>
  </si>
  <si>
    <t>ร้านออโต้ไอที</t>
  </si>
  <si>
    <t>เริ่ม 20 พ.ย. 60 สิ้นสุด 27 พ.ย. 61</t>
  </si>
  <si>
    <t>4.1 กิจกรรมอำนวยการบริหารงานจังหวัดแบบบูรณาการจังหวัดอ่างทองประจำปีงบประมาณ พ.ศ. 2561</t>
  </si>
  <si>
    <t>(7) โครงการวันพุธวันกีฬา จังหวัดอ่างทอง (Wednesday Sports Angthong) ประจำปีงบประมาณ พ.ศ. 2561</t>
  </si>
  <si>
    <t>สนง.จังหวัดอ่างทอง
(กลุ่มงานบริหารทรัพยากรบุคคล)</t>
  </si>
  <si>
    <t>3.2.2 รวมกลุ่มและสร้างเครือข่ายการพัฒนาการเกษตรตามแนวทฤษฏีใหม่ โดยยึดหลักปรัชญาเศรษฐกิจพอเพียง</t>
  </si>
  <si>
    <t>บัญชีสรุปผลการเบิกจ่ายงบประมาณโครงการพัฒนากลุ่มจังหวัดแบบบูรณาการ
ประจำปีงบประมาณ พ.ศ. 2560 ในส่วนจังหวัดอ่างทอง</t>
  </si>
  <si>
    <t xml:space="preserve">ที่ </t>
  </si>
  <si>
    <t>ผลการเบิกจ่ายงบประมาณ</t>
  </si>
  <si>
    <t>หน่วยงานรับผิดชอบ</t>
  </si>
  <si>
    <t>เบิกจ่าย(บาท)</t>
  </si>
  <si>
    <t>คงเหลือ(บาท)</t>
  </si>
  <si>
    <t>โครงการสนับสนุนการบริหารจัดการและจ้างเหมาเอกชนดำเนินงานของกลุ่มจังหวัดภาคกลางตอนบน 2</t>
  </si>
  <si>
    <t>สำนักงานจังหวัดอ่างทอง</t>
  </si>
  <si>
    <t>(8) โครงการส่งเสริมตลาดประชารัฐจังหวัดอ่างทอง ประจำปี 2561</t>
  </si>
  <si>
    <t>(1) ดำเนินการทบทวนแผนพัฒนาจังหวัดอ่างทอง (5ปี) 
พ.ศ. 2560-2564 (ทบทวน ปี 2562)</t>
  </si>
  <si>
    <t>3.1.3 ส่งเสริมและพัฒนาฟาร์มตัวอย่างตามพระราชดำริในสมเด็จพระนางเจ้าฯ พระบรมราชินีนาถ 
ตำบลสีบัวทอง อำเภอแสวงหา จังหวัดอ่างทอง</t>
  </si>
  <si>
    <t>เริ่ม 1 ธ.ค. 60 สิ้นสุด 30 มี.ค. 61</t>
  </si>
  <si>
    <t>ประชาสัมพันธ์จังหวัดอ่างทอง</t>
  </si>
  <si>
    <t>รอตรวจสิ่งแวดล้อม</t>
  </si>
  <si>
    <t>รอประกาศ</t>
  </si>
  <si>
    <t>เปลี่ยนแปลงรายละเอียดขอทำความตกลงกับสงป.</t>
  </si>
  <si>
    <t>แก้ไข ปร.4,ปร.5</t>
  </si>
  <si>
    <t>แก้ไขรายละเอียด</t>
  </si>
  <si>
    <t>รอแบบ,ปร.4,ปร.5</t>
  </si>
  <si>
    <t>อนุมัติโครงการ</t>
  </si>
  <si>
    <t>โครงการเงินเหลือจ่าย</t>
  </si>
  <si>
    <t>โครงการปรับปรุงและพัฒนาโครงสร้างพื้นฐาน</t>
  </si>
  <si>
    <t>กิจกรรมเสริมคันดินริมแม่น้ำเจ้าพระยาเพื่อเพิ่มความแข็งแรงของคันดิน หมู่ที่ 4 ตำบลบ้านแห อำเภอเมืองอ่างทอง จังหวัดอ่างทอง</t>
  </si>
  <si>
    <t>กิจกรรมส่งเสริมและพัฒนาพื้นที่แก้มลิงหนองเจ็ดเส้นอันเนื่องมาจากพระราชดำริ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</si>
  <si>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>โครงการส่งเสริมอาชีพ สร้างโอกาส สร้างรายได้ ของประชาชน</t>
  </si>
  <si>
    <t>กิจกรรมย่อย ก่อสร้างลานจอดรถคอนกรีตเสริมเหล็ก</t>
  </si>
  <si>
    <t>สำนักงานโยธาธิการและผังเมืองจังหวัดอ่างทอง</t>
  </si>
  <si>
    <t>ผลการดำเนินงานโครงการพัฒนาจังหวัดแบบบูรณาการ ปีงบประมาณ 2561</t>
  </si>
  <si>
    <t>รายการงบลงทุน</t>
  </si>
  <si>
    <t>รายการ</t>
  </si>
  <si>
    <t>หน่วยดำเนินการ</t>
  </si>
  <si>
    <t>การดำเนินการ</t>
  </si>
  <si>
    <t>ลงนามสัญญาจ้าง</t>
  </si>
  <si>
    <t>งบประมาณ(บาท)</t>
  </si>
  <si>
    <t>พิจารณาผล</t>
  </si>
  <si>
    <t>อยู่ระหว่างประกาศประกวดราคาครั้งที่ 2</t>
  </si>
  <si>
    <t>ได้ตัวผู้รับจ้าง วันที่ 19 ธ.ค.60</t>
  </si>
  <si>
    <t>หจก. วีเอส
แม็ชชิ่ง</t>
  </si>
  <si>
    <t>ได้ตัวผู้รับจ้างแล้วรออุทธรณ์</t>
  </si>
  <si>
    <t>ขายแบบ วันที่ 19-26 ธ.ค.60</t>
  </si>
  <si>
    <t>แต่งตั้งคณะกรรมการ</t>
  </si>
  <si>
    <t>แก้ไขโครงการ</t>
  </si>
  <si>
    <t>5.2.1 ก่อสร้างระบบประปาหมู่บ้านแบบบาดาลขนาดใหญ่ หมู่ที่ 10 ตำบลยางช้าย อำเภอโพธิ์ทอง 
จังหวัดอ่างทอง</t>
  </si>
  <si>
    <t xml:space="preserve">5.2.3 ก่อสร้างระบบประปาหมู่บ้านแบบบาดาลขนาดใหญ่  หมู่ที่ 3 ตำบลโพธิ์รังนก อำเภอโพธิ์ทอง 
จังหวัดอ่างทอง  </t>
  </si>
  <si>
    <t xml:space="preserve">5.2.4 ก่อสร้างระบบประปาหมู่บ้านแบบบาดาลขนาดใหญ่ หมู่ที่ 1 ตำบลยางซ้าย อำเภอโพธิ์ทอง 
จังหวัดอ่างทอง  </t>
  </si>
  <si>
    <t>5.2.6 ก่อสร้างระบบประปาหมู่บ้านแบบบาดาลขนาดใหญ่  หมู่ที่ 1 ตำบลรำมะสัก อำเภอโพธิ์ทอง 
จังหวัดอ่างทอง</t>
  </si>
  <si>
    <t>ยังไม่เสนอโครงการ</t>
  </si>
  <si>
    <t>ยกเลิก 
(ก.บ.ก.เห็นชอบ 
เมื่อวันที่ 12 ธ.ค.60)</t>
  </si>
  <si>
    <t>บริษัททองสยามคอนสตัคชั่น ซับพลาย</t>
  </si>
  <si>
    <t>เริ่ม 18 พ.ย. 60 สิ้นสุด 
27 พ.ค. 61</t>
  </si>
  <si>
    <t>เริ่ม 1 ธ.ค. 60 สิ้นสุด 
30 มี.ค. 61</t>
  </si>
  <si>
    <t>เริ่ม 9 พ.ย. 60 สิ้นสุด 
8 พ.ค. 61</t>
  </si>
  <si>
    <t>เริ่ม 9 พ.ย. 60 สิ้นสุด 
7 พ.ค. 61</t>
  </si>
  <si>
    <t>เริ่ม 21 พ.ย. 60 สิ้นสุด 
19 เม.ย. 61</t>
  </si>
  <si>
    <t>เริ่ม 8 พ.ย. .60 สิ้นสุด 
22 ธ.ค. 60</t>
  </si>
  <si>
    <t>เริ่ม 10 พ.ย. .60 สิ้นสุด 
7 ก.พ. 61</t>
  </si>
  <si>
    <t>เริ่ม 25 ต.ค.60 สิ้นสุด 
22 เม.ย.61</t>
  </si>
  <si>
    <t>เริ่ม 20 พ.ย. 60 สิ้นสุด 
27 พ.ย. 61</t>
  </si>
  <si>
    <t>กิจกรรมส่งเสริมและพัฒนาพื้นที่แก้มลิงหนองเจ็ดเส้น
อันเนื่องมาจากพระราชดำริ ตำบลหัวไผ่ อำเภอเมืองอ่างทอง ตำบลสายทอง อำเภอป่าโมก จังหวัดอ่างทอง</t>
  </si>
  <si>
    <t>เสร็จแล้ว</t>
  </si>
  <si>
    <t>บัญชีโครงการที่ขอรับการสนับสนุนโครงการ</t>
  </si>
  <si>
    <t xml:space="preserve">งบประมาณค่าใช้จ่ายในการสนับสนุนการแก้ไขปัญหาความเดือดร้อนเร่งด่วนของประชาชนในจังหวัดอ่างทอง </t>
  </si>
  <si>
    <t>ประจำปีงบประมาณ พ.ศ. 2561 งวดที่ 1 (1.5 ล้านบาท)</t>
  </si>
  <si>
    <t>งบประมาณที่เสนอขอรับการอนุมัติ</t>
  </si>
  <si>
    <t>หน่วยงานที่รับผิดชอบร่วม</t>
  </si>
  <si>
    <t xml:space="preserve">ค่าใช้จ่ายในการสนับสนุนการแก้ไขปัญหาความเดือดร้อนเร่งด่วนของประชาชนในจังหวัด ประจำปีงบประมาณ พ.ศ. 2561         </t>
  </si>
  <si>
    <t xml:space="preserve"> - สำนักงานจังหวัดอ่างทอง
 - อำเภอเมืองอ่างทอง</t>
  </si>
  <si>
    <t xml:space="preserve"> - สำนักงานจังหวัดอ่างทอง
 - อำเภอสามโก้</t>
  </si>
  <si>
    <t xml:space="preserve"> - สำนักงานจังหวัดอ่างทอง
 - อำเภอแสวงหา</t>
  </si>
  <si>
    <t xml:space="preserve"> - สำนักงานจังหวัดอ่างทอง
 - อำเภอวิเศษชัยชาญ</t>
  </si>
  <si>
    <t xml:space="preserve"> - สำนักงานจังหวัดอ่างทอง
 - อำเภอโพธิ์ทอง</t>
  </si>
  <si>
    <t xml:space="preserve"> - สำนักงานจังหวัดอ่างทอง
 - อำเภอป่าโมก</t>
  </si>
  <si>
    <t xml:space="preserve">             งวดที่ 1 : 1,500,000 บาท</t>
  </si>
  <si>
    <t xml:space="preserve">             หมายเหตุ : ก่อหนี้ผูกพัน และเบิกจ่ายให้แล้วเสร็จภายในวันที่ 31 มีนาคม 2561</t>
  </si>
  <si>
    <t xml:space="preserve">             งวดที่ 2 : 1,500,000 บาท</t>
  </si>
  <si>
    <t xml:space="preserve">             ** ทั้ง 2 งวด ต้องเบิกจ่ายให้แล้วเสร็จภายใน 31 สิงหาคม 2561</t>
  </si>
  <si>
    <t>เริ่มต้น-สิ้นสุด</t>
  </si>
  <si>
    <t>วงเงินสัญญาจ้าง</t>
  </si>
  <si>
    <t>เงินเหลือจากการก่อหนี้</t>
  </si>
  <si>
    <t>1.4 โครงการซ่อมสร้างถนนคอนกรีตเสริมเหล็ก หมู่ที่ 5 
ตำบลห้วยคันแหลน อำเภอวิเศษชัยชาญ จังหวัดอ่างทอง</t>
  </si>
  <si>
    <t>1.1 โครงการวางท่อระบายน้ำพร้อมบ่อพักคอนกรีตเสริมเหล็ก
ซอยข้างศาลา SML หมู่ที่ 7 ตำบลศาลาแดง</t>
  </si>
  <si>
    <t>1.2.8 ค้นหาผู้เสพ/ผู้ติดยาเสพติด เพื่อนำเข้าบำบัด</t>
  </si>
  <si>
    <t>เริ่ม 22 ธ.ค. 60 สิ้นสุด 
4 ก.พ. 61</t>
  </si>
  <si>
    <t>สำนักงานพัฒนาสังคมและความมั่นคงของมนุษย์จังหวัดอ่างทอง</t>
  </si>
  <si>
    <t>(3) โครงการจัดทำปฏิทินส่งเสริมการท่องเที่ยว จังหวัดอ่างทอง ประจำปี 2561</t>
  </si>
  <si>
    <t>เริ่ม 29 ธ.ค.60 สิ้นสุด 
27 ม.ค.61</t>
  </si>
  <si>
    <t>นายชินพันธ์ เหลืองศิธัญญะ</t>
  </si>
  <si>
    <t>ป.ประทีบก่อสร้าง</t>
  </si>
  <si>
    <t>เริ่ม 13 ม.ค. 61
สิ้นสุด 
26 ก.พ. 61</t>
  </si>
  <si>
    <t>(4) โครงการประชาสัมพันธ์ยุทธศาสตร์การพัฒนาจังหวัดอ่างทอง ประจำปีงบประมาณ พ.ศ. 2561</t>
  </si>
  <si>
    <t>(9) โครงการปรับปรุงเวทีเฉลิมพระเกียรติสำหรับจัดงานรัฐพิธีและจัดกิจกรรมที่สำคัญตามยุทธศาสตร์การพัฒนาจังหวัด</t>
  </si>
  <si>
    <t>สนง.จังหวัดอ่างทอง
(กลุ่มงานอำนวยการ)</t>
  </si>
  <si>
    <t>(5) โครงการประชาสัมพันธ์อุทยานสวรรค์อ่างทองหนองเจ็ดเส้น</t>
  </si>
  <si>
    <t>เริ่ม 24 ม.ค. 61 สิ้นสุด 
23 พ.ค. 61</t>
  </si>
  <si>
    <t>เริ่ม 24 ม.ค. 61 สิ้นสุด 
22 มิ.ย. 61</t>
  </si>
  <si>
    <t>เริ่ม 17 ม.ค. 61
สิ้นสุด 
16 เม.ย. 61</t>
  </si>
  <si>
    <t>หจก.ตั้งรุ่งเรืองกิจการโยธา</t>
  </si>
  <si>
    <t>บริษัท เพชรอินทร์ก่อสร้าง จำกัด</t>
  </si>
  <si>
    <t>1.2 โครงการปรับปรุงซ่อมแซมผิวจราจรชำรุดบรรเทาความเดือดร้อนของประชาชน (ถนนลูกรังหนองอ้ายเปลี่ยว หมู่ที่ 2 
ตำบลราษฎรพัฒนา อำเภอสามโก้ จังหวัดอ่างทอง)</t>
  </si>
  <si>
    <t>สัญญาเริ่มต้น 5 ม.ค. 61 สิ้นสุด  19 ก.พ. 61</t>
  </si>
  <si>
    <t>สัญญาเริ่มต้น 26 ธ.ค. 60สิ้นสุด  25 ม.ค. 61</t>
  </si>
  <si>
    <t>สัญญาเริ่มต้น 12 ม.ค. 61 สิ้นสุด  10 ก.พ. 61</t>
  </si>
  <si>
    <t>สัญญาเริ่มต้น 15 ม.ค. 61 สิ้นสุด  1 มี.ค. 62</t>
  </si>
  <si>
    <t>พัชรพล พาณิชย์</t>
  </si>
  <si>
    <t>ร้านชยาภรณ์</t>
  </si>
  <si>
    <t>น.ส. นุชลี 
ขวัญเกตุ</t>
  </si>
  <si>
    <t>นายเสมา 
ผลไพบูลย์</t>
  </si>
  <si>
    <t>1.6 ซ่อมแซมปรับปรุงถนนเลียบคลองชลประทาน (ริมคลองตาเส็ง) หมู่ที่ 5 ตำบลเอกราชอำเภอป่าโมก  จังหวัดอ่างทอง</t>
  </si>
  <si>
    <t>1.5 โครงการปรับปรุงซ่อมแซมระบบประปาหมู่บ้าน หมู่ที่ 7 
ตำบลอินทประมูล อำเภอโพธิ์ทอง จังหวัดอ่างทอง</t>
  </si>
  <si>
    <t>1.3 โครงการปรับปรุงซ่อมแซมถนนภายในหมู่บ้าน หมู่ที่ 8 
ตำบลบ้านพราน อำเภอแสวงหา จังหวัดอ่างทอง</t>
  </si>
  <si>
    <t xml:space="preserve">5.2.4 ก่อสร้างระบบประปาหมู่บ้านแบบบาดาลขนาดใหญ่ หมู่ที่ 1 ตำบลยางซ้าย อำเภอโพธิ์ทอง จังหวัดอ่างทอง  </t>
  </si>
  <si>
    <t>กิจกรรมเสริมคันดินริมแม่น้ำเจ้าพระยาเพื่อเพิ่มความแข็งแรงของคันดิน หมู่ที่ 5 ตำบลบ้านแห อำเภอเมืองอ่างทอง จังหวัดอ่างทอง</t>
  </si>
  <si>
    <t>หจก. จำกัด วรศักดิ์การชั่ง</t>
  </si>
  <si>
    <t>เริ่ม 30 ม.ค.61 สิ้นสุด 
28 ส.ค.61</t>
  </si>
  <si>
    <t>3.1.19 งานวิ่งเฉลิมพระเกียรติ</t>
  </si>
  <si>
    <t>สัญญาเริ่มต้น 
3 ม.ค. 61 สิ้นสุด  17 ก.พ. 61</t>
  </si>
  <si>
    <t>เริ่ม 6 ก.พ .61 สิ้นสุด 6 เม.ย. 61</t>
  </si>
  <si>
    <t>เริ่ม 10 ก.พ .61 สิ้นสุด 10 เม.ย. 61</t>
  </si>
  <si>
    <t>บริษัท ไทยบิลบอร์ด จำกัด</t>
  </si>
  <si>
    <t>เริ่ม 25 ม.ค.61 สิ้นสุด 26 มี.ค.61</t>
  </si>
  <si>
    <t>บริษัท สหพัฒนาการแพทย์เมดิคอน</t>
  </si>
  <si>
    <t>เริ่ม 17 ม.ค.61 สิ้นสุด 17 มี.ค.61</t>
  </si>
  <si>
    <t>หจก.คังวอณประเทศไทย</t>
  </si>
  <si>
    <t>เริ่ม 26 ธ.ค.60 สิ้นสุด 
25 มี.ค. 61</t>
  </si>
  <si>
    <t>อยู่ระหว่างเสนอโครงการ</t>
  </si>
  <si>
    <t>1.1.1 เสริมสร้างศักยภาพการรักษาความปลอดภัย
ในชีวิตและทรัพย์สินของบุคลากรตำรวจภูธร</t>
  </si>
  <si>
    <t>1.1.2 พัฒนาศักยภาพคณะกรรมการหมู่บ้าน(กม.) 
ในการสร้างความปรองดองสมานฉันท์</t>
  </si>
  <si>
    <t>1.2.10 พัฒนาและสร้างเครือข่ายแรงงานป้องกัน
ยาเสพติด</t>
  </si>
  <si>
    <t>1.2.13 เสริมสร้างความเข้มแข็งหมู่บ้าน/ชุมชนที่มี
การแพร่ระบาดยาเสพติด</t>
  </si>
  <si>
    <t>1.2.14 พัฒนาศักยภาพชุดปฏิบัติการปราบปราม
ยาเสพติด</t>
  </si>
  <si>
    <t>เริ่ม 25 ม.ค.61
สิ้นสุด 
25 มี.ค. 61</t>
  </si>
  <si>
    <t>น.ส.พัชริยา ศรีทอง</t>
  </si>
  <si>
    <t>(6) โครงการปรับปรุงซ่อมแซมป้ายประชาสัมพันธ์ทำเนียบผู้ดำรงตำแหน่งผู้ว่าราชการจังหวัดอ่างทองและป้ายผังที่ตั้งส่วนราชการประจำศาลากลางจังหวัดอ่างทอง</t>
  </si>
  <si>
    <t>(7) ค่าเช่าเครื่องถ่ายเอกสาร 1 เครื่องๆ ละ 12 เดือน เดือนละ 13,000บาท</t>
  </si>
  <si>
    <t>เริ่ม 20 ก.พ.61 สิ้นสุด 17 ต.ค.61</t>
  </si>
  <si>
    <t>คาดการเดือน มี.ค.</t>
  </si>
  <si>
    <t xml:space="preserve">ลงนามสัญญาจ้างแล้ว </t>
  </si>
  <si>
    <t>ยกเลิก (ก.บ.ก.เห็นชอบ 
เมื่อวันที่ 12 ธ.ค.60)</t>
  </si>
  <si>
    <t>กิจกรรมปรับปรุงซ่อมแซมถนนคอนกรีตเสริมเหล็กโดยการ
ปูแอสฟัลท์ติกคอนกรีต สายที่ 3 (หมู่ที่ 4,5) ตำบลเอกราช 
อำเภอป่าโมก จังหวัดอ่างทอง</t>
  </si>
  <si>
    <t>กิจกรรมก่อสร้างถนนคอนกรีตเสริมเหล็ก หมู่ที่ 4 
ตำบลรำมะสัก อำเภอโพธิ์ทอง เชื่อมต่อ หมู่ที่ 2 
ตำบลวังน้ำเย็น อำเภอแสวงหา จังหวัดอ่างทอง</t>
  </si>
  <si>
    <t xml:space="preserve"> - ลานอเนกประสงค์</t>
  </si>
  <si>
    <t>4.2.1 อ่างทองที่สุดอัศจรรย์</t>
  </si>
  <si>
    <t>ได้ตัวผู้รับจ้างแล้ว</t>
  </si>
  <si>
    <t>เสนอโครงการ</t>
  </si>
  <si>
    <t>อยู่ระหว่างดำเนินการ</t>
  </si>
  <si>
    <t>สัญญาเริ่มต้น 
9 มี.ค. 61 สิ้นสุด
 7 เม.ย. 61</t>
  </si>
  <si>
    <t>นายธวัชชัย 
ตรีเข้ม</t>
  </si>
  <si>
    <t>เริ่ม 18 ต.ค. 60 สิ้นสุด 
14 ก.พ. 61 ขยาย 5 เม.ย.61</t>
  </si>
  <si>
    <t>เงินเหลือจ่าย</t>
  </si>
  <si>
    <t xml:space="preserve"> - จัดซื้อที่นอนลม จำนวน 156 ผืน
</t>
  </si>
  <si>
    <t>เปิดซอง</t>
  </si>
  <si>
    <t>(10) โครงการอำนวยการการจัดงานรัฐพิธีของจังหวัด ประจำปีงบประมาณ พ.ศ. 2561 ภายใต้โครงการเพิ่มประสิทธิภาพการบริหารจัดการยุทธศาสตร์การพัฒนาจังหวัดแบบบูรณาการจังหวัดอ่างทอง ประจำปีงบประมาณ พ.ศ. 2561</t>
  </si>
  <si>
    <t>(11) โครงการค่ายครอบครัว " สานใจไทยสู่ใจใต้ " รุ่นที่ 33 จังหวัดอ่างทอง</t>
  </si>
  <si>
    <t>ไต้ตัวผู้รับจ้างแล้ว
รอลงนาม</t>
  </si>
  <si>
    <t>เริ่ม 21 ต.ค. 60 สิ้นสุด 
18 เม.ย. 61
ขยาย 26 มิ.ย.61</t>
  </si>
  <si>
    <t>อยู่ระหว่างแก้ไข</t>
  </si>
  <si>
    <t>(7) โครงการท่องเที่ยว อิ่มท้องสุขใจ ส่งเสริมวิถีไทย แต่งกายย้อนยุค</t>
  </si>
  <si>
    <t>สำนักงานพัฒนาฝีมือแรงงานจังหวัดอ่างทอง</t>
  </si>
  <si>
    <t>สำนักงานพัฒนาฝีมือแรงงานจังหวัด</t>
  </si>
  <si>
    <t>กำหนดราคากลาง</t>
  </si>
  <si>
    <t>ข้อมูล ณ วันที่ 22 มีนาคม 2561</t>
  </si>
  <si>
    <t>วันที่ 22 มีนาคม 2561</t>
  </si>
  <si>
    <t>เริ่ม 13 มี.ค.61 สิ้นสุด 31 ก.ค.61</t>
  </si>
  <si>
    <t>ยกเลิกประกาศรอบ 2</t>
  </si>
  <si>
    <t>รอลงนามสัญญาจ้าง 27 มี.ค. 61</t>
  </si>
  <si>
    <t>ข้อมูล ณ วันที่ 26 มีนาคม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</si>
</sst>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</numFmts>
  <fonts count="4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name val="TH SarabunPSK"/>
      <family val="2"/>
    </font>
    <font>
      <b/>
      <sz val="12"/>
      <color rgb="FFFF0000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  <charset val="1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0"/>
      <name val="TH SarabunPSK"/>
      <family val="2"/>
    </font>
    <font>
      <b/>
      <u/>
      <sz val="16"/>
      <name val="TH SarabunPSK"/>
      <family val="2"/>
    </font>
    <font>
      <b/>
      <sz val="11"/>
      <name val="TH SarabunPSK"/>
      <family val="2"/>
    </font>
    <font>
      <sz val="12"/>
      <color rgb="FFFF0000"/>
      <name val="TH SarabunPSK"/>
      <family val="2"/>
    </font>
    <font>
      <sz val="16"/>
      <color rgb="FFFF0000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sz val="16"/>
      <color theme="0"/>
      <name val="TH SarabunPSK"/>
      <family val="2"/>
    </font>
    <font>
      <b/>
      <sz val="18"/>
      <name val="TH SarabunPSK"/>
      <family val="2"/>
    </font>
    <font>
      <sz val="14"/>
      <name val="TH SarabunPSK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6"/>
      <color rgb="FFFF0000"/>
      <name val="TH SarabunIT๙"/>
      <family val="2"/>
    </font>
    <font>
      <b/>
      <sz val="16"/>
      <color rgb="FFFF0000"/>
      <name val="TH SarabunIT๙"/>
      <family val="2"/>
    </font>
    <font>
      <b/>
      <sz val="18"/>
      <name val="TH SarabunIT๙"/>
      <family val="2"/>
    </font>
    <font>
      <b/>
      <sz val="14"/>
      <color theme="0"/>
      <name val="TH SarabunPSK"/>
      <family val="2"/>
    </font>
    <font>
      <sz val="14"/>
      <name val="TH SarabunIT๙"/>
      <family val="2"/>
    </font>
    <font>
      <sz val="14"/>
      <color rgb="FFFF0000"/>
      <name val="TH SarabunPSK"/>
      <family val="2"/>
    </font>
    <font>
      <sz val="14"/>
      <color theme="1"/>
      <name val="TH SarabunIT๙"/>
      <family val="2"/>
    </font>
    <font>
      <b/>
      <sz val="14"/>
      <color rgb="FFFF0000"/>
      <name val="TH SarabunPSK"/>
      <family val="2"/>
    </font>
    <font>
      <b/>
      <sz val="13"/>
      <color theme="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3"/>
      <name val="TH SarabunIT๙"/>
      <family val="2"/>
    </font>
    <font>
      <sz val="13"/>
      <color rgb="FFFF0000"/>
      <name val="TH SarabunPSK"/>
      <family val="2"/>
    </font>
    <font>
      <b/>
      <sz val="13"/>
      <color rgb="FFFF0000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rgb="FFFF0000"/>
      <name val="TH SarabunIT๙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IT๙"/>
      <family val="2"/>
    </font>
    <font>
      <sz val="16"/>
      <color rgb="FF000000"/>
      <name val="TH SarabunPSK"/>
      <family val="2"/>
    </font>
  </fonts>
  <fills count="2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CBF3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9DA74"/>
        <bgColor indexed="64"/>
      </patternFill>
    </fill>
    <fill>
      <patternFill patternType="solid">
        <fgColor rgb="FFFEC6DA"/>
        <bgColor indexed="64"/>
      </patternFill>
    </fill>
    <fill>
      <patternFill patternType="solid">
        <fgColor rgb="FFFEDEE9"/>
        <bgColor indexed="64"/>
      </patternFill>
    </fill>
    <fill>
      <patternFill patternType="solid">
        <fgColor rgb="FFFE8AB6"/>
        <bgColor indexed="64"/>
      </patternFill>
    </fill>
    <fill>
      <patternFill patternType="solid">
        <fgColor rgb="FFFEB4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846">
    <xf numFmtId="0" fontId="0" fillId="0" borderId="0" xfId="0"/>
    <xf numFmtId="41" fontId="9" fillId="0" borderId="6" xfId="0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top"/>
    </xf>
    <xf numFmtId="0" fontId="11" fillId="0" borderId="0" xfId="1" applyFont="1" applyBorder="1" applyAlignment="1">
      <alignment horizontal="center" vertical="top"/>
    </xf>
    <xf numFmtId="41" fontId="11" fillId="0" borderId="1" xfId="1" applyNumberFormat="1" applyFont="1" applyBorder="1" applyAlignment="1">
      <alignment horizontal="center" vertical="top"/>
    </xf>
    <xf numFmtId="0" fontId="11" fillId="0" borderId="0" xfId="1" applyFont="1" applyAlignment="1">
      <alignment horizontal="center" vertical="center"/>
    </xf>
    <xf numFmtId="41" fontId="10" fillId="0" borderId="10" xfId="0" applyNumberFormat="1" applyFont="1" applyBorder="1" applyAlignment="1">
      <alignment horizontal="center" vertical="center" wrapText="1"/>
    </xf>
    <xf numFmtId="41" fontId="10" fillId="0" borderId="11" xfId="0" applyNumberFormat="1" applyFont="1" applyBorder="1" applyAlignment="1">
      <alignment horizontal="center" vertical="center" wrapText="1"/>
    </xf>
    <xf numFmtId="41" fontId="10" fillId="2" borderId="10" xfId="1" applyNumberFormat="1" applyFont="1" applyFill="1" applyBorder="1" applyAlignment="1">
      <alignment horizontal="left" vertical="top"/>
    </xf>
    <xf numFmtId="0" fontId="10" fillId="0" borderId="0" xfId="1" applyFont="1" applyFill="1" applyAlignment="1">
      <alignment horizontal="center" vertical="top"/>
    </xf>
    <xf numFmtId="41" fontId="10" fillId="3" borderId="10" xfId="1" applyNumberFormat="1" applyFont="1" applyFill="1" applyBorder="1" applyAlignment="1">
      <alignment horizontal="left" vertical="top" wrapText="1"/>
    </xf>
    <xf numFmtId="0" fontId="10" fillId="0" borderId="0" xfId="1" applyFont="1" applyAlignment="1">
      <alignment horizontal="center" vertical="top"/>
    </xf>
    <xf numFmtId="0" fontId="10" fillId="4" borderId="13" xfId="1" applyFont="1" applyFill="1" applyBorder="1" applyAlignment="1">
      <alignment horizontal="center" vertical="top"/>
    </xf>
    <xf numFmtId="41" fontId="10" fillId="4" borderId="11" xfId="1" applyNumberFormat="1" applyFont="1" applyFill="1" applyBorder="1" applyAlignment="1">
      <alignment horizontal="left" vertical="top"/>
    </xf>
    <xf numFmtId="0" fontId="11" fillId="4" borderId="10" xfId="0" applyFont="1" applyFill="1" applyBorder="1" applyAlignment="1">
      <alignment horizontal="left" vertical="top"/>
    </xf>
    <xf numFmtId="41" fontId="10" fillId="5" borderId="10" xfId="1" applyNumberFormat="1" applyFont="1" applyFill="1" applyBorder="1" applyAlignment="1">
      <alignment horizontal="center" vertical="top"/>
    </xf>
    <xf numFmtId="0" fontId="11" fillId="5" borderId="10" xfId="0" applyFont="1" applyFill="1" applyBorder="1" applyAlignment="1">
      <alignment horizontal="left" vertical="top"/>
    </xf>
    <xf numFmtId="0" fontId="10" fillId="0" borderId="12" xfId="1" applyFont="1" applyBorder="1" applyAlignment="1">
      <alignment horizontal="center" vertical="top"/>
    </xf>
    <xf numFmtId="0" fontId="10" fillId="0" borderId="5" xfId="1" applyFont="1" applyBorder="1" applyAlignment="1">
      <alignment horizontal="center" vertical="top"/>
    </xf>
    <xf numFmtId="0" fontId="10" fillId="0" borderId="5" xfId="1" applyFont="1" applyBorder="1" applyAlignment="1">
      <alignment horizontal="left" vertical="top" wrapText="1"/>
    </xf>
    <xf numFmtId="0" fontId="11" fillId="0" borderId="6" xfId="1" applyFont="1" applyFill="1" applyBorder="1" applyAlignment="1">
      <alignment horizontal="left" vertical="top" wrapText="1"/>
    </xf>
    <xf numFmtId="41" fontId="11" fillId="0" borderId="11" xfId="0" applyNumberFormat="1" applyFont="1" applyBorder="1" applyAlignment="1">
      <alignment vertical="top"/>
    </xf>
    <xf numFmtId="41" fontId="11" fillId="0" borderId="8" xfId="0" applyNumberFormat="1" applyFont="1" applyBorder="1" applyAlignment="1">
      <alignment vertical="top"/>
    </xf>
    <xf numFmtId="0" fontId="10" fillId="0" borderId="8" xfId="1" applyFont="1" applyBorder="1" applyAlignment="1">
      <alignment horizontal="center" vertical="top"/>
    </xf>
    <xf numFmtId="0" fontId="10" fillId="0" borderId="1" xfId="1" applyFont="1" applyBorder="1" applyAlignment="1">
      <alignment horizontal="center" vertical="top"/>
    </xf>
    <xf numFmtId="0" fontId="11" fillId="0" borderId="9" xfId="1" applyFont="1" applyFill="1" applyBorder="1" applyAlignment="1">
      <alignment horizontal="left" vertical="top" wrapText="1"/>
    </xf>
    <xf numFmtId="41" fontId="11" fillId="0" borderId="10" xfId="0" applyNumberFormat="1" applyFont="1" applyBorder="1" applyAlignment="1">
      <alignment vertical="top"/>
    </xf>
    <xf numFmtId="41" fontId="11" fillId="0" borderId="12" xfId="0" applyNumberFormat="1" applyFont="1" applyBorder="1" applyAlignment="1">
      <alignment vertical="top"/>
    </xf>
    <xf numFmtId="0" fontId="10" fillId="5" borderId="12" xfId="1" applyFont="1" applyFill="1" applyBorder="1" applyAlignment="1">
      <alignment horizontal="center" vertical="top"/>
    </xf>
    <xf numFmtId="0" fontId="10" fillId="5" borderId="5" xfId="1" applyFont="1" applyFill="1" applyBorder="1" applyAlignment="1">
      <alignment horizontal="center" vertical="top"/>
    </xf>
    <xf numFmtId="0" fontId="10" fillId="0" borderId="13" xfId="1" applyFont="1" applyBorder="1" applyAlignment="1">
      <alignment horizontal="center" vertical="top"/>
    </xf>
    <xf numFmtId="0" fontId="10" fillId="0" borderId="0" xfId="1" applyFont="1" applyBorder="1" applyAlignment="1">
      <alignment horizontal="center" vertical="top"/>
    </xf>
    <xf numFmtId="0" fontId="11" fillId="0" borderId="14" xfId="1" applyFont="1" applyFill="1" applyBorder="1" applyAlignment="1">
      <alignment horizontal="left" vertical="top" wrapText="1"/>
    </xf>
    <xf numFmtId="0" fontId="10" fillId="0" borderId="13" xfId="1" applyFont="1" applyFill="1" applyBorder="1" applyAlignment="1">
      <alignment horizontal="center" vertical="top"/>
    </xf>
    <xf numFmtId="0" fontId="10" fillId="0" borderId="0" xfId="1" applyFont="1" applyFill="1" applyBorder="1" applyAlignment="1">
      <alignment horizontal="center" vertical="top"/>
    </xf>
    <xf numFmtId="41" fontId="11" fillId="0" borderId="15" xfId="0" applyNumberFormat="1" applyFont="1" applyFill="1" applyBorder="1" applyAlignment="1">
      <alignment vertical="top"/>
    </xf>
    <xf numFmtId="41" fontId="11" fillId="0" borderId="13" xfId="0" applyNumberFormat="1" applyFont="1" applyFill="1" applyBorder="1" applyAlignment="1">
      <alignment vertical="top"/>
    </xf>
    <xf numFmtId="0" fontId="11" fillId="0" borderId="5" xfId="1" applyFont="1" applyFill="1" applyBorder="1" applyAlignment="1">
      <alignment horizontal="left" vertical="top" wrapText="1"/>
    </xf>
    <xf numFmtId="0" fontId="10" fillId="0" borderId="12" xfId="1" applyFont="1" applyFill="1" applyBorder="1" applyAlignment="1">
      <alignment horizontal="center" vertical="top"/>
    </xf>
    <xf numFmtId="0" fontId="10" fillId="0" borderId="5" xfId="1" applyFont="1" applyFill="1" applyBorder="1" applyAlignment="1">
      <alignment horizontal="center" vertical="top"/>
    </xf>
    <xf numFmtId="0" fontId="10" fillId="5" borderId="2" xfId="1" applyFont="1" applyFill="1" applyBorder="1" applyAlignment="1">
      <alignment horizontal="center" vertical="top"/>
    </xf>
    <xf numFmtId="0" fontId="10" fillId="5" borderId="3" xfId="1" applyFont="1" applyFill="1" applyBorder="1" applyAlignment="1">
      <alignment horizontal="center" vertical="top"/>
    </xf>
    <xf numFmtId="0" fontId="10" fillId="5" borderId="8" xfId="1" applyFont="1" applyFill="1" applyBorder="1" applyAlignment="1">
      <alignment horizontal="center" vertical="top"/>
    </xf>
    <xf numFmtId="0" fontId="10" fillId="5" borderId="1" xfId="1" applyFont="1" applyFill="1" applyBorder="1" applyAlignment="1">
      <alignment horizontal="center" vertical="top"/>
    </xf>
    <xf numFmtId="0" fontId="10" fillId="4" borderId="8" xfId="1" applyFont="1" applyFill="1" applyBorder="1" applyAlignment="1">
      <alignment horizontal="center" vertical="top"/>
    </xf>
    <xf numFmtId="41" fontId="10" fillId="5" borderId="7" xfId="1" applyNumberFormat="1" applyFont="1" applyFill="1" applyBorder="1" applyAlignment="1">
      <alignment vertical="top" wrapText="1"/>
    </xf>
    <xf numFmtId="41" fontId="10" fillId="5" borderId="10" xfId="1" applyNumberFormat="1" applyFont="1" applyFill="1" applyBorder="1" applyAlignment="1">
      <alignment vertical="top" wrapText="1"/>
    </xf>
    <xf numFmtId="0" fontId="11" fillId="0" borderId="8" xfId="1" applyFont="1" applyBorder="1" applyAlignment="1">
      <alignment horizontal="center" vertical="top"/>
    </xf>
    <xf numFmtId="0" fontId="11" fillId="0" borderId="1" xfId="1" applyFont="1" applyBorder="1" applyAlignment="1">
      <alignment horizontal="center" vertical="top"/>
    </xf>
    <xf numFmtId="41" fontId="11" fillId="0" borderId="6" xfId="0" applyNumberFormat="1" applyFont="1" applyBorder="1" applyAlignment="1">
      <alignment vertical="top"/>
    </xf>
    <xf numFmtId="41" fontId="10" fillId="4" borderId="11" xfId="1" applyNumberFormat="1" applyFont="1" applyFill="1" applyBorder="1" applyAlignment="1">
      <alignment horizontal="center" vertical="top"/>
    </xf>
    <xf numFmtId="0" fontId="11" fillId="0" borderId="12" xfId="1" applyFont="1" applyBorder="1" applyAlignment="1">
      <alignment horizontal="center" vertical="top"/>
    </xf>
    <xf numFmtId="0" fontId="11" fillId="0" borderId="5" xfId="1" applyFont="1" applyBorder="1" applyAlignment="1">
      <alignment horizontal="center" vertical="top"/>
    </xf>
    <xf numFmtId="0" fontId="11" fillId="0" borderId="2" xfId="1" applyFont="1" applyBorder="1" applyAlignment="1">
      <alignment horizontal="center" vertical="top"/>
    </xf>
    <xf numFmtId="0" fontId="11" fillId="0" borderId="3" xfId="1" applyFont="1" applyBorder="1" applyAlignment="1">
      <alignment horizontal="center" vertical="top"/>
    </xf>
    <xf numFmtId="0" fontId="11" fillId="0" borderId="4" xfId="1" applyFont="1" applyFill="1" applyBorder="1" applyAlignment="1">
      <alignment horizontal="left" vertical="top" wrapText="1"/>
    </xf>
    <xf numFmtId="41" fontId="11" fillId="0" borderId="7" xfId="0" applyNumberFormat="1" applyFont="1" applyBorder="1" applyAlignment="1">
      <alignment vertical="top"/>
    </xf>
    <xf numFmtId="0" fontId="11" fillId="0" borderId="13" xfId="1" applyFont="1" applyBorder="1" applyAlignment="1">
      <alignment horizontal="center" vertical="top"/>
    </xf>
    <xf numFmtId="0" fontId="11" fillId="0" borderId="0" xfId="1" applyFont="1" applyFill="1" applyBorder="1" applyAlignment="1">
      <alignment horizontal="center" vertical="top"/>
    </xf>
    <xf numFmtId="0" fontId="11" fillId="0" borderId="1" xfId="1" applyFont="1" applyFill="1" applyBorder="1" applyAlignment="1">
      <alignment horizontal="center" vertical="top"/>
    </xf>
    <xf numFmtId="41" fontId="11" fillId="0" borderId="1" xfId="0" applyNumberFormat="1" applyFont="1" applyBorder="1" applyAlignment="1">
      <alignment vertical="top"/>
    </xf>
    <xf numFmtId="0" fontId="11" fillId="0" borderId="5" xfId="1" applyFont="1" applyFill="1" applyBorder="1" applyAlignment="1">
      <alignment horizontal="center" vertical="top"/>
    </xf>
    <xf numFmtId="41" fontId="11" fillId="0" borderId="5" xfId="0" applyNumberFormat="1" applyFont="1" applyBorder="1" applyAlignment="1">
      <alignment vertical="top"/>
    </xf>
    <xf numFmtId="41" fontId="11" fillId="0" borderId="13" xfId="0" applyNumberFormat="1" applyFont="1" applyBorder="1" applyAlignment="1">
      <alignment vertical="top"/>
    </xf>
    <xf numFmtId="41" fontId="11" fillId="0" borderId="11" xfId="3" applyNumberFormat="1" applyFont="1" applyFill="1" applyBorder="1" applyAlignment="1">
      <alignment vertical="top"/>
    </xf>
    <xf numFmtId="41" fontId="11" fillId="0" borderId="8" xfId="3" applyNumberFormat="1" applyFont="1" applyFill="1" applyBorder="1" applyAlignment="1">
      <alignment vertical="top"/>
    </xf>
    <xf numFmtId="41" fontId="11" fillId="0" borderId="10" xfId="0" applyNumberFormat="1" applyFont="1" applyBorder="1" applyAlignment="1">
      <alignment horizontal="center" vertical="top"/>
    </xf>
    <xf numFmtId="41" fontId="11" fillId="0" borderId="12" xfId="0" applyNumberFormat="1" applyFont="1" applyBorder="1" applyAlignment="1">
      <alignment horizontal="center" vertical="top"/>
    </xf>
    <xf numFmtId="41" fontId="10" fillId="5" borderId="7" xfId="1" applyNumberFormat="1" applyFont="1" applyFill="1" applyBorder="1" applyAlignment="1">
      <alignment horizontal="center" vertical="top"/>
    </xf>
    <xf numFmtId="41" fontId="11" fillId="0" borderId="17" xfId="0" applyNumberFormat="1" applyFont="1" applyBorder="1" applyAlignment="1">
      <alignment vertical="top"/>
    </xf>
    <xf numFmtId="41" fontId="11" fillId="0" borderId="16" xfId="0" applyNumberFormat="1" applyFont="1" applyBorder="1" applyAlignment="1">
      <alignment vertical="top"/>
    </xf>
    <xf numFmtId="41" fontId="11" fillId="0" borderId="2" xfId="0" applyNumberFormat="1" applyFont="1" applyBorder="1" applyAlignment="1">
      <alignment vertical="top"/>
    </xf>
    <xf numFmtId="41" fontId="10" fillId="4" borderId="10" xfId="1" applyNumberFormat="1" applyFont="1" applyFill="1" applyBorder="1" applyAlignment="1">
      <alignment horizontal="center" vertical="top"/>
    </xf>
    <xf numFmtId="0" fontId="10" fillId="0" borderId="2" xfId="1" applyFont="1" applyFill="1" applyBorder="1" applyAlignment="1">
      <alignment horizontal="center" vertical="top"/>
    </xf>
    <xf numFmtId="0" fontId="10" fillId="0" borderId="3" xfId="1" applyFont="1" applyFill="1" applyBorder="1" applyAlignment="1">
      <alignment horizontal="center" vertical="top"/>
    </xf>
    <xf numFmtId="0" fontId="10" fillId="0" borderId="3" xfId="1" applyFont="1" applyFill="1" applyBorder="1" applyAlignment="1">
      <alignment horizontal="left" vertical="top" wrapText="1"/>
    </xf>
    <xf numFmtId="0" fontId="10" fillId="0" borderId="5" xfId="1" applyFont="1" applyFill="1" applyBorder="1" applyAlignment="1">
      <alignment horizontal="left" vertical="top" wrapText="1"/>
    </xf>
    <xf numFmtId="0" fontId="11" fillId="0" borderId="12" xfId="1" applyFont="1" applyFill="1" applyBorder="1" applyAlignment="1">
      <alignment horizontal="center" vertical="top"/>
    </xf>
    <xf numFmtId="0" fontId="11" fillId="0" borderId="6" xfId="1" applyFont="1" applyFill="1" applyBorder="1" applyAlignment="1">
      <alignment vertical="top" wrapText="1"/>
    </xf>
    <xf numFmtId="0" fontId="11" fillId="0" borderId="0" xfId="1" applyFont="1" applyFill="1" applyAlignment="1">
      <alignment horizontal="center" vertical="top"/>
    </xf>
    <xf numFmtId="0" fontId="11" fillId="0" borderId="8" xfId="1" applyFont="1" applyFill="1" applyBorder="1" applyAlignment="1">
      <alignment horizontal="center" vertical="top"/>
    </xf>
    <xf numFmtId="49" fontId="11" fillId="0" borderId="6" xfId="1" applyNumberFormat="1" applyFont="1" applyFill="1" applyBorder="1" applyAlignment="1">
      <alignment vertical="top" wrapText="1"/>
    </xf>
    <xf numFmtId="41" fontId="11" fillId="0" borderId="10" xfId="0" applyNumberFormat="1" applyFont="1" applyFill="1" applyBorder="1" applyAlignment="1">
      <alignment vertical="top"/>
    </xf>
    <xf numFmtId="41" fontId="11" fillId="0" borderId="12" xfId="0" applyNumberFormat="1" applyFont="1" applyFill="1" applyBorder="1" applyAlignment="1">
      <alignment vertical="top"/>
    </xf>
    <xf numFmtId="0" fontId="11" fillId="0" borderId="13" xfId="1" applyFont="1" applyFill="1" applyBorder="1" applyAlignment="1">
      <alignment horizontal="center" vertical="top"/>
    </xf>
    <xf numFmtId="0" fontId="11" fillId="0" borderId="14" xfId="1" applyFont="1" applyFill="1" applyBorder="1" applyAlignment="1">
      <alignment vertical="top" wrapText="1"/>
    </xf>
    <xf numFmtId="41" fontId="10" fillId="3" borderId="11" xfId="1" applyNumberFormat="1" applyFont="1" applyFill="1" applyBorder="1" applyAlignment="1">
      <alignment horizontal="center" vertical="top"/>
    </xf>
    <xf numFmtId="0" fontId="10" fillId="4" borderId="12" xfId="1" applyFont="1" applyFill="1" applyBorder="1" applyAlignment="1">
      <alignment horizontal="center" vertical="top"/>
    </xf>
    <xf numFmtId="41" fontId="10" fillId="4" borderId="10" xfId="1" applyNumberFormat="1" applyFont="1" applyFill="1" applyBorder="1" applyAlignment="1">
      <alignment horizontal="left" vertical="top"/>
    </xf>
    <xf numFmtId="0" fontId="10" fillId="0" borderId="2" xfId="1" applyFont="1" applyBorder="1" applyAlignment="1">
      <alignment horizontal="center" vertical="top"/>
    </xf>
    <xf numFmtId="0" fontId="10" fillId="0" borderId="3" xfId="1" applyFont="1" applyBorder="1" applyAlignment="1">
      <alignment horizontal="center" vertical="top"/>
    </xf>
    <xf numFmtId="41" fontId="10" fillId="3" borderId="10" xfId="1" applyNumberFormat="1" applyFont="1" applyFill="1" applyBorder="1" applyAlignment="1">
      <alignment horizontal="center" vertical="top"/>
    </xf>
    <xf numFmtId="41" fontId="10" fillId="5" borderId="10" xfId="1" applyNumberFormat="1" applyFont="1" applyFill="1" applyBorder="1" applyAlignment="1">
      <alignment horizontal="left" vertical="top" wrapText="1"/>
    </xf>
    <xf numFmtId="0" fontId="10" fillId="5" borderId="13" xfId="1" applyFont="1" applyFill="1" applyBorder="1" applyAlignment="1">
      <alignment horizontal="center" vertical="top"/>
    </xf>
    <xf numFmtId="0" fontId="10" fillId="5" borderId="0" xfId="1" applyFont="1" applyFill="1" applyBorder="1" applyAlignment="1">
      <alignment horizontal="center" vertical="top"/>
    </xf>
    <xf numFmtId="41" fontId="10" fillId="5" borderId="15" xfId="1" applyNumberFormat="1" applyFont="1" applyFill="1" applyBorder="1" applyAlignment="1">
      <alignment horizontal="center" vertical="top"/>
    </xf>
    <xf numFmtId="0" fontId="11" fillId="0" borderId="1" xfId="1" applyFont="1" applyBorder="1" applyAlignment="1">
      <alignment horizontal="left" vertical="top"/>
    </xf>
    <xf numFmtId="41" fontId="10" fillId="4" borderId="8" xfId="1" applyNumberFormat="1" applyFont="1" applyFill="1" applyBorder="1" applyAlignment="1">
      <alignment horizontal="center" vertical="top"/>
    </xf>
    <xf numFmtId="0" fontId="10" fillId="0" borderId="20" xfId="1" applyFont="1" applyBorder="1" applyAlignment="1">
      <alignment horizontal="center" vertical="top"/>
    </xf>
    <xf numFmtId="0" fontId="10" fillId="0" borderId="21" xfId="1" applyFont="1" applyBorder="1" applyAlignment="1">
      <alignment horizontal="center" vertical="top"/>
    </xf>
    <xf numFmtId="0" fontId="11" fillId="0" borderId="18" xfId="1" applyFont="1" applyFill="1" applyBorder="1" applyAlignment="1">
      <alignment horizontal="left" vertical="top" wrapText="1"/>
    </xf>
    <xf numFmtId="41" fontId="11" fillId="0" borderId="19" xfId="0" applyNumberFormat="1" applyFont="1" applyBorder="1" applyAlignment="1">
      <alignment vertical="top"/>
    </xf>
    <xf numFmtId="41" fontId="11" fillId="0" borderId="20" xfId="0" applyNumberFormat="1" applyFont="1" applyBorder="1" applyAlignment="1">
      <alignment vertical="top"/>
    </xf>
    <xf numFmtId="41" fontId="11" fillId="0" borderId="6" xfId="1" applyNumberFormat="1" applyFont="1" applyFill="1" applyBorder="1" applyAlignment="1">
      <alignment horizontal="left" vertical="top" wrapText="1"/>
    </xf>
    <xf numFmtId="41" fontId="11" fillId="0" borderId="14" xfId="1" applyNumberFormat="1" applyFont="1" applyFill="1" applyBorder="1" applyAlignment="1">
      <alignment horizontal="left" vertical="top" wrapText="1"/>
    </xf>
    <xf numFmtId="41" fontId="11" fillId="0" borderId="5" xfId="1" applyNumberFormat="1" applyFont="1" applyFill="1" applyBorder="1" applyAlignment="1">
      <alignment horizontal="left" vertical="top" wrapText="1"/>
    </xf>
    <xf numFmtId="41" fontId="11" fillId="0" borderId="9" xfId="1" applyNumberFormat="1" applyFont="1" applyFill="1" applyBorder="1" applyAlignment="1">
      <alignment horizontal="left" vertical="top" wrapText="1"/>
    </xf>
    <xf numFmtId="0" fontId="10" fillId="0" borderId="5" xfId="1" applyFont="1" applyFill="1" applyBorder="1" applyAlignment="1">
      <alignment vertical="top" wrapText="1"/>
    </xf>
    <xf numFmtId="41" fontId="10" fillId="6" borderId="11" xfId="1" applyNumberFormat="1" applyFont="1" applyFill="1" applyBorder="1" applyAlignment="1">
      <alignment horizontal="center" vertical="top"/>
    </xf>
    <xf numFmtId="41" fontId="10" fillId="6" borderId="8" xfId="1" applyNumberFormat="1" applyFont="1" applyFill="1" applyBorder="1" applyAlignment="1">
      <alignment horizontal="center" vertical="top"/>
    </xf>
    <xf numFmtId="41" fontId="10" fillId="7" borderId="10" xfId="1" applyNumberFormat="1" applyFont="1" applyFill="1" applyBorder="1" applyAlignment="1">
      <alignment horizontal="center" vertical="top"/>
    </xf>
    <xf numFmtId="41" fontId="11" fillId="0" borderId="0" xfId="1" applyNumberFormat="1" applyFont="1" applyAlignment="1">
      <alignment horizontal="center" vertical="top"/>
    </xf>
    <xf numFmtId="0" fontId="2" fillId="0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41" fontId="2" fillId="0" borderId="11" xfId="1" applyNumberFormat="1" applyFont="1" applyBorder="1" applyAlignment="1">
      <alignment horizontal="center" vertical="center" wrapText="1"/>
    </xf>
    <xf numFmtId="41" fontId="2" fillId="0" borderId="10" xfId="1" applyNumberFormat="1" applyFont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top" wrapText="1"/>
    </xf>
    <xf numFmtId="0" fontId="10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vertical="center" wrapText="1"/>
    </xf>
    <xf numFmtId="41" fontId="10" fillId="0" borderId="10" xfId="0" applyNumberFormat="1" applyFont="1" applyFill="1" applyBorder="1" applyAlignment="1">
      <alignment horizontal="center" vertical="center" wrapText="1"/>
    </xf>
    <xf numFmtId="41" fontId="10" fillId="8" borderId="10" xfId="0" applyNumberFormat="1" applyFont="1" applyFill="1" applyBorder="1" applyAlignment="1">
      <alignment horizontal="right" vertical="top" wrapText="1"/>
    </xf>
    <xf numFmtId="0" fontId="11" fillId="8" borderId="10" xfId="0" applyFont="1" applyFill="1" applyBorder="1" applyAlignment="1">
      <alignment vertical="top" wrapText="1"/>
    </xf>
    <xf numFmtId="41" fontId="10" fillId="9" borderId="10" xfId="0" applyNumberFormat="1" applyFont="1" applyFill="1" applyBorder="1" applyAlignment="1">
      <alignment vertical="top" wrapText="1"/>
    </xf>
    <xf numFmtId="0" fontId="10" fillId="9" borderId="10" xfId="0" applyFont="1" applyFill="1" applyBorder="1" applyAlignment="1">
      <alignment vertical="top" wrapText="1"/>
    </xf>
    <xf numFmtId="41" fontId="10" fillId="10" borderId="10" xfId="0" applyNumberFormat="1" applyFont="1" applyFill="1" applyBorder="1" applyAlignment="1">
      <alignment vertical="top" wrapText="1"/>
    </xf>
    <xf numFmtId="0" fontId="10" fillId="10" borderId="10" xfId="0" applyFont="1" applyFill="1" applyBorder="1" applyAlignment="1">
      <alignment vertical="top" wrapText="1"/>
    </xf>
    <xf numFmtId="0" fontId="10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vertical="top" wrapText="1"/>
    </xf>
    <xf numFmtId="41" fontId="10" fillId="0" borderId="10" xfId="37" applyNumberFormat="1" applyFont="1" applyFill="1" applyBorder="1" applyAlignment="1">
      <alignment horizontal="right" vertical="top" wrapText="1"/>
    </xf>
    <xf numFmtId="0" fontId="10" fillId="0" borderId="0" xfId="0" applyFont="1" applyFill="1" applyAlignment="1">
      <alignment vertical="top" wrapText="1"/>
    </xf>
    <xf numFmtId="41" fontId="11" fillId="11" borderId="10" xfId="0" applyNumberFormat="1" applyFont="1" applyFill="1" applyBorder="1" applyAlignment="1">
      <alignment horizontal="left" vertical="top" wrapText="1"/>
    </xf>
    <xf numFmtId="41" fontId="10" fillId="12" borderId="10" xfId="0" applyNumberFormat="1" applyFont="1" applyFill="1" applyBorder="1" applyAlignment="1">
      <alignment vertical="top" wrapText="1"/>
    </xf>
    <xf numFmtId="0" fontId="11" fillId="13" borderId="0" xfId="0" applyFont="1" applyFill="1" applyAlignment="1">
      <alignment vertical="top" wrapText="1"/>
    </xf>
    <xf numFmtId="0" fontId="10" fillId="8" borderId="6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center" vertical="top" wrapText="1"/>
    </xf>
    <xf numFmtId="41" fontId="11" fillId="0" borderId="0" xfId="0" applyNumberFormat="1" applyFont="1" applyFill="1" applyAlignment="1">
      <alignment vertical="top" wrapText="1"/>
    </xf>
    <xf numFmtId="0" fontId="11" fillId="0" borderId="0" xfId="0" applyFont="1" applyFill="1" applyAlignment="1">
      <alignment horizontal="left" vertical="top" wrapText="1"/>
    </xf>
    <xf numFmtId="0" fontId="2" fillId="11" borderId="10" xfId="0" applyFont="1" applyFill="1" applyBorder="1" applyAlignment="1">
      <alignment vertical="top" wrapText="1"/>
    </xf>
    <xf numFmtId="0" fontId="4" fillId="12" borderId="10" xfId="0" applyFont="1" applyFill="1" applyBorder="1" applyAlignment="1">
      <alignment vertical="top" wrapText="1"/>
    </xf>
    <xf numFmtId="0" fontId="2" fillId="8" borderId="10" xfId="0" applyFont="1" applyFill="1" applyBorder="1" applyAlignment="1">
      <alignment vertical="top" wrapText="1"/>
    </xf>
    <xf numFmtId="0" fontId="4" fillId="9" borderId="1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horizontal="center" vertical="top" wrapText="1"/>
    </xf>
    <xf numFmtId="41" fontId="10" fillId="8" borderId="6" xfId="0" applyNumberFormat="1" applyFont="1" applyFill="1" applyBorder="1" applyAlignment="1">
      <alignment horizontal="right" vertical="top" wrapText="1"/>
    </xf>
    <xf numFmtId="41" fontId="10" fillId="14" borderId="11" xfId="0" applyNumberFormat="1" applyFont="1" applyFill="1" applyBorder="1" applyAlignment="1">
      <alignment horizontal="center" vertical="center" wrapText="1"/>
    </xf>
    <xf numFmtId="0" fontId="10" fillId="0" borderId="0" xfId="29" applyFont="1" applyFill="1" applyAlignment="1">
      <alignment vertical="top" wrapText="1"/>
    </xf>
    <xf numFmtId="0" fontId="10" fillId="0" borderId="0" xfId="29" applyFont="1" applyFill="1" applyBorder="1" applyAlignment="1">
      <alignment horizontal="center" vertical="top" wrapText="1"/>
    </xf>
    <xf numFmtId="0" fontId="10" fillId="0" borderId="0" xfId="29" applyFont="1" applyFill="1" applyAlignment="1">
      <alignment horizontal="center" vertical="center" wrapText="1"/>
    </xf>
    <xf numFmtId="41" fontId="10" fillId="14" borderId="10" xfId="0" applyNumberFormat="1" applyFont="1" applyFill="1" applyBorder="1" applyAlignment="1">
      <alignment horizontal="center" vertical="center" wrapText="1"/>
    </xf>
    <xf numFmtId="41" fontId="10" fillId="15" borderId="11" xfId="0" applyNumberFormat="1" applyFont="1" applyFill="1" applyBorder="1" applyAlignment="1">
      <alignment horizontal="center" vertical="top" wrapText="1"/>
    </xf>
    <xf numFmtId="0" fontId="10" fillId="15" borderId="10" xfId="29" applyFont="1" applyFill="1" applyBorder="1" applyAlignment="1">
      <alignment horizontal="left" vertical="top" wrapText="1"/>
    </xf>
    <xf numFmtId="2" fontId="10" fillId="0" borderId="0" xfId="29" applyNumberFormat="1" applyFont="1" applyFill="1" applyAlignment="1">
      <alignment horizontal="center" wrapText="1"/>
    </xf>
    <xf numFmtId="0" fontId="10" fillId="0" borderId="0" xfId="29" applyFont="1" applyFill="1" applyAlignment="1">
      <alignment horizontal="center" vertical="top" wrapText="1"/>
    </xf>
    <xf numFmtId="41" fontId="10" fillId="16" borderId="10" xfId="0" applyNumberFormat="1" applyFont="1" applyFill="1" applyBorder="1" applyAlignment="1">
      <alignment horizontal="center" vertical="top" wrapText="1"/>
    </xf>
    <xf numFmtId="0" fontId="10" fillId="16" borderId="10" xfId="29" applyFont="1" applyFill="1" applyBorder="1" applyAlignment="1">
      <alignment horizontal="left" vertical="top" wrapText="1"/>
    </xf>
    <xf numFmtId="2" fontId="10" fillId="0" borderId="0" xfId="29" applyNumberFormat="1" applyFont="1" applyFill="1" applyAlignment="1">
      <alignment horizontal="center" vertical="top" wrapText="1"/>
    </xf>
    <xf numFmtId="0" fontId="10" fillId="15" borderId="15" xfId="29" applyFont="1" applyFill="1" applyBorder="1" applyAlignment="1">
      <alignment horizontal="center" vertical="top"/>
    </xf>
    <xf numFmtId="41" fontId="10" fillId="15" borderId="9" xfId="0" applyNumberFormat="1" applyFont="1" applyFill="1" applyBorder="1" applyAlignment="1">
      <alignment horizontal="right" vertical="top"/>
    </xf>
    <xf numFmtId="41" fontId="10" fillId="15" borderId="6" xfId="0" applyNumberFormat="1" applyFont="1" applyFill="1" applyBorder="1" applyAlignment="1">
      <alignment horizontal="right" vertical="top"/>
    </xf>
    <xf numFmtId="0" fontId="11" fillId="0" borderId="0" xfId="29" applyFont="1" applyFill="1" applyAlignment="1">
      <alignment vertical="top" wrapText="1"/>
    </xf>
    <xf numFmtId="0" fontId="11" fillId="0" borderId="6" xfId="29" applyFont="1" applyFill="1" applyBorder="1" applyAlignment="1">
      <alignment horizontal="left" vertical="top" wrapText="1"/>
    </xf>
    <xf numFmtId="41" fontId="11" fillId="0" borderId="10" xfId="0" applyNumberFormat="1" applyFont="1" applyFill="1" applyBorder="1" applyAlignment="1">
      <alignment horizontal="right" vertical="top"/>
    </xf>
    <xf numFmtId="41" fontId="10" fillId="15" borderId="10" xfId="0" applyNumberFormat="1" applyFont="1" applyFill="1" applyBorder="1" applyAlignment="1">
      <alignment horizontal="right" vertical="top"/>
    </xf>
    <xf numFmtId="0" fontId="11" fillId="0" borderId="5" xfId="29" applyFont="1" applyFill="1" applyBorder="1" applyAlignment="1">
      <alignment horizontal="left" vertical="top"/>
    </xf>
    <xf numFmtId="0" fontId="11" fillId="0" borderId="0" xfId="29" applyFont="1" applyFill="1" applyAlignment="1">
      <alignment vertical="top"/>
    </xf>
    <xf numFmtId="41" fontId="10" fillId="16" borderId="10" xfId="0" applyNumberFormat="1" applyFont="1" applyFill="1" applyBorder="1" applyAlignment="1">
      <alignment horizontal="right" vertical="top"/>
    </xf>
    <xf numFmtId="41" fontId="10" fillId="15" borderId="7" xfId="0" applyNumberFormat="1" applyFont="1" applyFill="1" applyBorder="1" applyAlignment="1">
      <alignment horizontal="right" vertical="top"/>
    </xf>
    <xf numFmtId="41" fontId="10" fillId="15" borderId="11" xfId="0" applyNumberFormat="1" applyFont="1" applyFill="1" applyBorder="1" applyAlignment="1">
      <alignment horizontal="right" vertical="top"/>
    </xf>
    <xf numFmtId="0" fontId="11" fillId="0" borderId="4" xfId="29" applyFont="1" applyFill="1" applyBorder="1" applyAlignment="1">
      <alignment horizontal="left" vertical="top" wrapText="1"/>
    </xf>
    <xf numFmtId="0" fontId="10" fillId="15" borderId="10" xfId="29" applyFont="1" applyFill="1" applyBorder="1" applyAlignment="1">
      <alignment horizontal="center" vertical="top"/>
    </xf>
    <xf numFmtId="41" fontId="10" fillId="16" borderId="9" xfId="0" applyNumberFormat="1" applyFont="1" applyFill="1" applyBorder="1" applyAlignment="1">
      <alignment horizontal="right" vertical="top"/>
    </xf>
    <xf numFmtId="0" fontId="11" fillId="0" borderId="0" xfId="29" applyFont="1" applyFill="1" applyAlignment="1">
      <alignment horizontal="left" vertical="top" wrapText="1"/>
    </xf>
    <xf numFmtId="1" fontId="11" fillId="0" borderId="0" xfId="29" applyNumberFormat="1" applyFont="1" applyFill="1" applyAlignment="1">
      <alignment horizontal="center" vertical="top" wrapText="1"/>
    </xf>
    <xf numFmtId="0" fontId="2" fillId="0" borderId="10" xfId="29" applyFont="1" applyFill="1" applyBorder="1" applyAlignment="1">
      <alignment horizontal="center" vertical="center" wrapText="1"/>
    </xf>
    <xf numFmtId="0" fontId="4" fillId="16" borderId="10" xfId="29" applyFont="1" applyFill="1" applyBorder="1" applyAlignment="1">
      <alignment horizontal="center" vertical="center" wrapText="1"/>
    </xf>
    <xf numFmtId="0" fontId="10" fillId="13" borderId="0" xfId="1" applyFont="1" applyFill="1" applyAlignment="1">
      <alignment vertical="top"/>
    </xf>
    <xf numFmtId="0" fontId="11" fillId="13" borderId="0" xfId="1" applyFont="1" applyFill="1" applyAlignment="1">
      <alignment horizontal="center" vertical="top"/>
    </xf>
    <xf numFmtId="0" fontId="11" fillId="13" borderId="0" xfId="1" applyFont="1" applyFill="1" applyBorder="1" applyAlignment="1">
      <alignment horizontal="center" vertical="top"/>
    </xf>
    <xf numFmtId="0" fontId="11" fillId="13" borderId="0" xfId="1" applyFont="1" applyFill="1" applyAlignment="1">
      <alignment horizontal="center" vertical="center"/>
    </xf>
    <xf numFmtId="41" fontId="10" fillId="13" borderId="11" xfId="0" applyNumberFormat="1" applyFont="1" applyFill="1" applyBorder="1" applyAlignment="1">
      <alignment horizontal="center" vertical="center" wrapText="1"/>
    </xf>
    <xf numFmtId="41" fontId="10" fillId="13" borderId="10" xfId="1" applyNumberFormat="1" applyFont="1" applyFill="1" applyBorder="1" applyAlignment="1">
      <alignment horizontal="left" vertical="top"/>
    </xf>
    <xf numFmtId="41" fontId="10" fillId="13" borderId="10" xfId="1" applyNumberFormat="1" applyFont="1" applyFill="1" applyBorder="1" applyAlignment="1">
      <alignment horizontal="left" vertical="top" wrapText="1"/>
    </xf>
    <xf numFmtId="0" fontId="10" fillId="13" borderId="13" xfId="1" applyFont="1" applyFill="1" applyBorder="1" applyAlignment="1">
      <alignment horizontal="center" vertical="top"/>
    </xf>
    <xf numFmtId="0" fontId="11" fillId="13" borderId="10" xfId="0" applyFont="1" applyFill="1" applyBorder="1" applyAlignment="1">
      <alignment horizontal="left" vertical="top"/>
    </xf>
    <xf numFmtId="41" fontId="10" fillId="13" borderId="10" xfId="1" applyNumberFormat="1" applyFont="1" applyFill="1" applyBorder="1" applyAlignment="1">
      <alignment horizontal="center" vertical="top"/>
    </xf>
    <xf numFmtId="0" fontId="10" fillId="13" borderId="12" xfId="1" applyFont="1" applyFill="1" applyBorder="1" applyAlignment="1">
      <alignment horizontal="center" vertical="top"/>
    </xf>
    <xf numFmtId="0" fontId="10" fillId="13" borderId="5" xfId="1" applyFont="1" applyFill="1" applyBorder="1" applyAlignment="1">
      <alignment horizontal="center" vertical="top"/>
    </xf>
    <xf numFmtId="0" fontId="11" fillId="13" borderId="6" xfId="1" applyFont="1" applyFill="1" applyBorder="1" applyAlignment="1">
      <alignment horizontal="left" vertical="top" wrapText="1"/>
    </xf>
    <xf numFmtId="41" fontId="11" fillId="13" borderId="11" xfId="0" applyNumberFormat="1" applyFont="1" applyFill="1" applyBorder="1" applyAlignment="1">
      <alignment vertical="top"/>
    </xf>
    <xf numFmtId="41" fontId="11" fillId="13" borderId="8" xfId="0" applyNumberFormat="1" applyFont="1" applyFill="1" applyBorder="1" applyAlignment="1">
      <alignment vertical="top"/>
    </xf>
    <xf numFmtId="0" fontId="2" fillId="13" borderId="10" xfId="0" applyFont="1" applyFill="1" applyBorder="1" applyAlignment="1">
      <alignment horizontal="center" vertical="center" wrapText="1"/>
    </xf>
    <xf numFmtId="0" fontId="10" fillId="13" borderId="8" xfId="1" applyFont="1" applyFill="1" applyBorder="1" applyAlignment="1">
      <alignment horizontal="center" vertical="top"/>
    </xf>
    <xf numFmtId="0" fontId="10" fillId="13" borderId="1" xfId="1" applyFont="1" applyFill="1" applyBorder="1" applyAlignment="1">
      <alignment horizontal="center" vertical="top"/>
    </xf>
    <xf numFmtId="0" fontId="11" fillId="13" borderId="9" xfId="1" applyFont="1" applyFill="1" applyBorder="1" applyAlignment="1">
      <alignment horizontal="left" vertical="top" wrapText="1"/>
    </xf>
    <xf numFmtId="41" fontId="11" fillId="13" borderId="12" xfId="0" applyNumberFormat="1" applyFont="1" applyFill="1" applyBorder="1" applyAlignment="1">
      <alignment vertical="top"/>
    </xf>
    <xf numFmtId="0" fontId="2" fillId="13" borderId="10" xfId="0" applyFont="1" applyFill="1" applyBorder="1" applyAlignment="1">
      <alignment horizontal="center" vertical="center"/>
    </xf>
    <xf numFmtId="0" fontId="10" fillId="13" borderId="0" xfId="1" applyFont="1" applyFill="1" applyBorder="1" applyAlignment="1">
      <alignment horizontal="center" vertical="top"/>
    </xf>
    <xf numFmtId="41" fontId="11" fillId="13" borderId="10" xfId="0" applyNumberFormat="1" applyFont="1" applyFill="1" applyBorder="1" applyAlignment="1">
      <alignment vertical="top"/>
    </xf>
    <xf numFmtId="0" fontId="10" fillId="13" borderId="2" xfId="1" applyFont="1" applyFill="1" applyBorder="1" applyAlignment="1">
      <alignment horizontal="center" vertical="top"/>
    </xf>
    <xf numFmtId="0" fontId="10" fillId="13" borderId="3" xfId="1" applyFont="1" applyFill="1" applyBorder="1" applyAlignment="1">
      <alignment horizontal="center" vertical="top"/>
    </xf>
    <xf numFmtId="0" fontId="2" fillId="13" borderId="11" xfId="0" applyFont="1" applyFill="1" applyBorder="1" applyAlignment="1">
      <alignment horizontal="center" vertical="center"/>
    </xf>
    <xf numFmtId="0" fontId="11" fillId="13" borderId="8" xfId="1" applyFont="1" applyFill="1" applyBorder="1" applyAlignment="1">
      <alignment horizontal="center" vertical="top"/>
    </xf>
    <xf numFmtId="0" fontId="11" fillId="13" borderId="1" xfId="1" applyFont="1" applyFill="1" applyBorder="1" applyAlignment="1">
      <alignment horizontal="center" vertical="top"/>
    </xf>
    <xf numFmtId="0" fontId="11" fillId="13" borderId="12" xfId="1" applyFont="1" applyFill="1" applyBorder="1" applyAlignment="1">
      <alignment horizontal="center" vertical="top"/>
    </xf>
    <xf numFmtId="0" fontId="11" fillId="13" borderId="5" xfId="1" applyFont="1" applyFill="1" applyBorder="1" applyAlignment="1">
      <alignment horizontal="center" vertical="top"/>
    </xf>
    <xf numFmtId="0" fontId="11" fillId="13" borderId="13" xfId="1" applyFont="1" applyFill="1" applyBorder="1" applyAlignment="1">
      <alignment horizontal="center" vertical="top"/>
    </xf>
    <xf numFmtId="0" fontId="11" fillId="13" borderId="6" xfId="1" applyFont="1" applyFill="1" applyBorder="1" applyAlignment="1">
      <alignment vertical="top" wrapText="1"/>
    </xf>
    <xf numFmtId="0" fontId="10" fillId="13" borderId="5" xfId="1" applyFont="1" applyFill="1" applyBorder="1" applyAlignment="1">
      <alignment vertical="top" wrapText="1"/>
    </xf>
    <xf numFmtId="41" fontId="11" fillId="13" borderId="0" xfId="1" applyNumberFormat="1" applyFont="1" applyFill="1" applyAlignment="1">
      <alignment horizontal="center" vertical="top"/>
    </xf>
    <xf numFmtId="0" fontId="11" fillId="13" borderId="0" xfId="1" applyFont="1" applyFill="1" applyAlignment="1">
      <alignment horizontal="left" vertical="top"/>
    </xf>
    <xf numFmtId="0" fontId="10" fillId="13" borderId="12" xfId="1" applyFont="1" applyFill="1" applyBorder="1" applyAlignment="1">
      <alignment vertical="top" wrapText="1"/>
    </xf>
    <xf numFmtId="0" fontId="11" fillId="13" borderId="5" xfId="1" applyFont="1" applyFill="1" applyBorder="1" applyAlignment="1">
      <alignment vertical="top" wrapText="1"/>
    </xf>
    <xf numFmtId="41" fontId="11" fillId="13" borderId="11" xfId="1" applyNumberFormat="1" applyFont="1" applyFill="1" applyBorder="1" applyAlignment="1">
      <alignment horizontal="left" vertical="top"/>
    </xf>
    <xf numFmtId="0" fontId="10" fillId="13" borderId="5" xfId="1" applyFont="1" applyFill="1" applyBorder="1" applyAlignment="1">
      <alignment vertical="top"/>
    </xf>
    <xf numFmtId="0" fontId="10" fillId="13" borderId="1" xfId="1" applyFont="1" applyFill="1" applyBorder="1" applyAlignment="1">
      <alignment vertical="top" wrapText="1"/>
    </xf>
    <xf numFmtId="0" fontId="10" fillId="13" borderId="12" xfId="1" applyFont="1" applyFill="1" applyBorder="1" applyAlignment="1">
      <alignment vertical="top"/>
    </xf>
    <xf numFmtId="0" fontId="11" fillId="13" borderId="12" xfId="1" applyFont="1" applyFill="1" applyBorder="1" applyAlignment="1">
      <alignment vertical="top"/>
    </xf>
    <xf numFmtId="0" fontId="11" fillId="13" borderId="5" xfId="1" applyFont="1" applyFill="1" applyBorder="1" applyAlignment="1">
      <alignment vertical="top"/>
    </xf>
    <xf numFmtId="41" fontId="11" fillId="13" borderId="10" xfId="2" applyNumberFormat="1" applyFont="1" applyFill="1" applyBorder="1" applyAlignment="1">
      <alignment vertical="top"/>
    </xf>
    <xf numFmtId="41" fontId="10" fillId="13" borderId="11" xfId="0" applyNumberFormat="1" applyFont="1" applyFill="1" applyBorder="1" applyAlignment="1">
      <alignment vertical="top"/>
    </xf>
    <xf numFmtId="41" fontId="10" fillId="13" borderId="8" xfId="0" applyNumberFormat="1" applyFont="1" applyFill="1" applyBorder="1" applyAlignment="1">
      <alignment vertical="top"/>
    </xf>
    <xf numFmtId="0" fontId="4" fillId="13" borderId="10" xfId="0" applyFont="1" applyFill="1" applyBorder="1" applyAlignment="1">
      <alignment horizontal="center" vertical="center" wrapText="1"/>
    </xf>
    <xf numFmtId="41" fontId="11" fillId="13" borderId="10" xfId="1" applyNumberFormat="1" applyFont="1" applyFill="1" applyBorder="1" applyAlignment="1">
      <alignment horizontal="center" vertical="top"/>
    </xf>
    <xf numFmtId="41" fontId="10" fillId="13" borderId="10" xfId="0" applyNumberFormat="1" applyFont="1" applyFill="1" applyBorder="1" applyAlignment="1">
      <alignment vertical="top"/>
    </xf>
    <xf numFmtId="41" fontId="11" fillId="13" borderId="11" xfId="1" applyNumberFormat="1" applyFont="1" applyFill="1" applyBorder="1" applyAlignment="1">
      <alignment horizontal="center" vertical="top"/>
    </xf>
    <xf numFmtId="41" fontId="11" fillId="13" borderId="7" xfId="1" applyNumberFormat="1" applyFont="1" applyFill="1" applyBorder="1" applyAlignment="1">
      <alignment vertical="top" wrapText="1"/>
    </xf>
    <xf numFmtId="0" fontId="4" fillId="13" borderId="11" xfId="0" applyFont="1" applyFill="1" applyBorder="1" applyAlignment="1">
      <alignment horizontal="center" vertical="center" wrapText="1"/>
    </xf>
    <xf numFmtId="41" fontId="14" fillId="13" borderId="10" xfId="1" applyNumberFormat="1" applyFont="1" applyFill="1" applyBorder="1" applyAlignment="1">
      <alignment horizontal="center" vertical="center" wrapText="1"/>
    </xf>
    <xf numFmtId="43" fontId="10" fillId="13" borderId="10" xfId="37" applyFont="1" applyFill="1" applyBorder="1" applyAlignment="1">
      <alignment horizontal="left" vertical="top"/>
    </xf>
    <xf numFmtId="43" fontId="10" fillId="13" borderId="10" xfId="37" applyFont="1" applyFill="1" applyBorder="1" applyAlignment="1">
      <alignment horizontal="left" vertical="top" wrapText="1"/>
    </xf>
    <xf numFmtId="43" fontId="11" fillId="13" borderId="11" xfId="37" applyFont="1" applyFill="1" applyBorder="1" applyAlignment="1">
      <alignment horizontal="left" vertical="top"/>
    </xf>
    <xf numFmtId="43" fontId="11" fillId="13" borderId="10" xfId="37" applyFont="1" applyFill="1" applyBorder="1" applyAlignment="1">
      <alignment horizontal="center" vertical="top"/>
    </xf>
    <xf numFmtId="43" fontId="11" fillId="13" borderId="8" xfId="37" applyFont="1" applyFill="1" applyBorder="1" applyAlignment="1">
      <alignment vertical="top"/>
    </xf>
    <xf numFmtId="43" fontId="11" fillId="13" borderId="12" xfId="37" applyFont="1" applyFill="1" applyBorder="1" applyAlignment="1">
      <alignment vertical="top"/>
    </xf>
    <xf numFmtId="43" fontId="10" fillId="13" borderId="8" xfId="37" applyFont="1" applyFill="1" applyBorder="1" applyAlignment="1">
      <alignment vertical="top"/>
    </xf>
    <xf numFmtId="43" fontId="11" fillId="13" borderId="13" xfId="37" applyFont="1" applyFill="1" applyBorder="1" applyAlignment="1">
      <alignment vertical="top"/>
    </xf>
    <xf numFmtId="43" fontId="10" fillId="13" borderId="10" xfId="37" applyFont="1" applyFill="1" applyBorder="1" applyAlignment="1">
      <alignment vertical="top"/>
    </xf>
    <xf numFmtId="43" fontId="10" fillId="13" borderId="11" xfId="37" applyFont="1" applyFill="1" applyBorder="1" applyAlignment="1">
      <alignment vertical="top"/>
    </xf>
    <xf numFmtId="43" fontId="11" fillId="13" borderId="10" xfId="37" applyFont="1" applyFill="1" applyBorder="1" applyAlignment="1">
      <alignment vertical="top" wrapText="1"/>
    </xf>
    <xf numFmtId="43" fontId="11" fillId="13" borderId="11" xfId="37" applyFont="1" applyFill="1" applyBorder="1" applyAlignment="1">
      <alignment horizontal="center" vertical="top"/>
    </xf>
    <xf numFmtId="43" fontId="10" fillId="13" borderId="10" xfId="37" applyFont="1" applyFill="1" applyBorder="1" applyAlignment="1">
      <alignment horizontal="center" vertical="top"/>
    </xf>
    <xf numFmtId="43" fontId="11" fillId="13" borderId="10" xfId="37" applyFont="1" applyFill="1" applyBorder="1" applyAlignment="1">
      <alignment vertical="top"/>
    </xf>
    <xf numFmtId="41" fontId="12" fillId="13" borderId="1" xfId="1" applyNumberFormat="1" applyFont="1" applyFill="1" applyBorder="1" applyAlignment="1">
      <alignment vertical="top"/>
    </xf>
    <xf numFmtId="41" fontId="9" fillId="13" borderId="1" xfId="1" applyNumberFormat="1" applyFont="1" applyFill="1" applyBorder="1" applyAlignment="1">
      <alignment vertical="top"/>
    </xf>
    <xf numFmtId="15" fontId="10" fillId="13" borderId="0" xfId="1" applyNumberFormat="1" applyFont="1" applyFill="1" applyAlignment="1">
      <alignment horizontal="center" vertical="top"/>
    </xf>
    <xf numFmtId="17" fontId="10" fillId="13" borderId="0" xfId="1" applyNumberFormat="1" applyFont="1" applyFill="1" applyAlignment="1">
      <alignment horizontal="center" vertical="top"/>
    </xf>
    <xf numFmtId="0" fontId="11" fillId="0" borderId="3" xfId="29" applyFont="1" applyFill="1" applyBorder="1" applyAlignment="1">
      <alignment horizontal="left" vertical="top" wrapText="1"/>
    </xf>
    <xf numFmtId="41" fontId="11" fillId="0" borderId="10" xfId="0" applyNumberFormat="1" applyFont="1" applyFill="1" applyBorder="1" applyAlignment="1">
      <alignment vertical="top" wrapText="1"/>
    </xf>
    <xf numFmtId="0" fontId="11" fillId="0" borderId="12" xfId="29" applyFont="1" applyFill="1" applyBorder="1" applyAlignment="1">
      <alignment horizontal="center" vertical="top"/>
    </xf>
    <xf numFmtId="0" fontId="11" fillId="0" borderId="8" xfId="29" applyFont="1" applyFill="1" applyBorder="1" applyAlignment="1">
      <alignment horizontal="center" vertical="top"/>
    </xf>
    <xf numFmtId="0" fontId="10" fillId="13" borderId="12" xfId="29" applyFont="1" applyFill="1" applyBorder="1" applyAlignment="1">
      <alignment horizontal="center" vertical="top"/>
    </xf>
    <xf numFmtId="41" fontId="10" fillId="13" borderId="9" xfId="0" applyNumberFormat="1" applyFont="1" applyFill="1" applyBorder="1" applyAlignment="1">
      <alignment horizontal="right" vertical="top"/>
    </xf>
    <xf numFmtId="41" fontId="10" fillId="13" borderId="6" xfId="0" applyNumberFormat="1" applyFont="1" applyFill="1" applyBorder="1" applyAlignment="1">
      <alignment horizontal="right" vertical="top"/>
    </xf>
    <xf numFmtId="0" fontId="2" fillId="13" borderId="10" xfId="29" applyFont="1" applyFill="1" applyBorder="1" applyAlignment="1">
      <alignment horizontal="center" vertical="center" wrapText="1"/>
    </xf>
    <xf numFmtId="41" fontId="10" fillId="13" borderId="10" xfId="0" applyNumberFormat="1" applyFont="1" applyFill="1" applyBorder="1" applyAlignment="1">
      <alignment horizontal="right" vertical="top"/>
    </xf>
    <xf numFmtId="41" fontId="10" fillId="0" borderId="10" xfId="0" applyNumberFormat="1" applyFont="1" applyFill="1" applyBorder="1" applyAlignment="1">
      <alignment horizontal="right" vertical="top"/>
    </xf>
    <xf numFmtId="0" fontId="4" fillId="0" borderId="10" xfId="29" applyFont="1" applyFill="1" applyBorder="1" applyAlignment="1">
      <alignment horizontal="center" vertical="center" wrapText="1"/>
    </xf>
    <xf numFmtId="41" fontId="10" fillId="0" borderId="12" xfId="0" applyNumberFormat="1" applyFont="1" applyFill="1" applyBorder="1" applyAlignment="1">
      <alignment horizontal="right" vertical="top"/>
    </xf>
    <xf numFmtId="41" fontId="10" fillId="0" borderId="26" xfId="0" applyNumberFormat="1" applyFont="1" applyFill="1" applyBorder="1" applyAlignment="1">
      <alignment vertical="top" wrapText="1"/>
    </xf>
    <xf numFmtId="41" fontId="10" fillId="0" borderId="10" xfId="0" applyNumberFormat="1" applyFont="1" applyFill="1" applyBorder="1" applyAlignment="1">
      <alignment vertical="top" wrapText="1"/>
    </xf>
    <xf numFmtId="41" fontId="10" fillId="0" borderId="10" xfId="0" applyNumberFormat="1" applyFont="1" applyFill="1" applyBorder="1" applyAlignment="1">
      <alignment horizontal="center" vertical="top"/>
    </xf>
    <xf numFmtId="0" fontId="10" fillId="0" borderId="12" xfId="29" applyFont="1" applyFill="1" applyBorder="1" applyAlignment="1">
      <alignment horizontal="center" vertical="top"/>
    </xf>
    <xf numFmtId="0" fontId="10" fillId="15" borderId="11" xfId="29" applyFont="1" applyFill="1" applyBorder="1" applyAlignment="1">
      <alignment horizontal="center" vertical="top"/>
    </xf>
    <xf numFmtId="0" fontId="10" fillId="15" borderId="10" xfId="29" applyFont="1" applyFill="1" applyBorder="1" applyAlignment="1">
      <alignment horizontal="center" vertical="top" wrapText="1"/>
    </xf>
    <xf numFmtId="0" fontId="4" fillId="15" borderId="10" xfId="29" applyFont="1" applyFill="1" applyBorder="1" applyAlignment="1">
      <alignment horizontal="center" vertical="center" wrapText="1"/>
    </xf>
    <xf numFmtId="41" fontId="10" fillId="0" borderId="27" xfId="0" applyNumberFormat="1" applyFont="1" applyFill="1" applyBorder="1" applyAlignment="1">
      <alignment vertical="top" wrapText="1"/>
    </xf>
    <xf numFmtId="0" fontId="10" fillId="0" borderId="12" xfId="29" applyFont="1" applyFill="1" applyBorder="1" applyAlignment="1">
      <alignment vertical="top" wrapText="1"/>
    </xf>
    <xf numFmtId="0" fontId="11" fillId="0" borderId="12" xfId="29" applyFont="1" applyFill="1" applyBorder="1" applyAlignment="1">
      <alignment vertical="top" wrapText="1"/>
    </xf>
    <xf numFmtId="0" fontId="10" fillId="0" borderId="10" xfId="29" applyFont="1" applyFill="1" applyBorder="1" applyAlignment="1">
      <alignment horizontal="left" vertical="top" wrapText="1"/>
    </xf>
    <xf numFmtId="41" fontId="10" fillId="0" borderId="10" xfId="29" applyNumberFormat="1" applyFont="1" applyFill="1" applyBorder="1" applyAlignment="1">
      <alignment horizontal="left" vertical="top" wrapText="1"/>
    </xf>
    <xf numFmtId="41" fontId="10" fillId="8" borderId="10" xfId="0" applyNumberFormat="1" applyFont="1" applyFill="1" applyBorder="1" applyAlignment="1">
      <alignment vertical="top" wrapText="1"/>
    </xf>
    <xf numFmtId="41" fontId="10" fillId="0" borderId="10" xfId="37" applyNumberFormat="1" applyFont="1" applyFill="1" applyBorder="1" applyAlignment="1">
      <alignment vertical="top" wrapText="1"/>
    </xf>
    <xf numFmtId="41" fontId="11" fillId="11" borderId="10" xfId="0" applyNumberFormat="1" applyFont="1" applyFill="1" applyBorder="1" applyAlignment="1">
      <alignment vertical="top" wrapText="1"/>
    </xf>
    <xf numFmtId="43" fontId="10" fillId="8" borderId="10" xfId="37" applyFont="1" applyFill="1" applyBorder="1" applyAlignment="1">
      <alignment horizontal="right" vertical="top" wrapText="1"/>
    </xf>
    <xf numFmtId="41" fontId="10" fillId="13" borderId="11" xfId="0" applyNumberFormat="1" applyFont="1" applyFill="1" applyBorder="1" applyAlignment="1">
      <alignment horizontal="center" vertical="top" wrapText="1"/>
    </xf>
    <xf numFmtId="43" fontId="10" fillId="6" borderId="8" xfId="37" applyFont="1" applyFill="1" applyBorder="1" applyAlignment="1">
      <alignment horizontal="center" vertical="top"/>
    </xf>
    <xf numFmtId="43" fontId="10" fillId="7" borderId="10" xfId="37" applyFont="1" applyFill="1" applyBorder="1" applyAlignment="1">
      <alignment horizontal="center" vertical="top"/>
    </xf>
    <xf numFmtId="43" fontId="10" fillId="2" borderId="10" xfId="37" applyFont="1" applyFill="1" applyBorder="1" applyAlignment="1">
      <alignment horizontal="left" vertical="top"/>
    </xf>
    <xf numFmtId="43" fontId="10" fillId="3" borderId="10" xfId="37" applyFont="1" applyFill="1" applyBorder="1" applyAlignment="1">
      <alignment horizontal="left" vertical="top" wrapText="1"/>
    </xf>
    <xf numFmtId="43" fontId="10" fillId="4" borderId="11" xfId="37" applyFont="1" applyFill="1" applyBorder="1" applyAlignment="1">
      <alignment horizontal="left" vertical="top"/>
    </xf>
    <xf numFmtId="43" fontId="10" fillId="5" borderId="10" xfId="37" applyFont="1" applyFill="1" applyBorder="1" applyAlignment="1">
      <alignment horizontal="center" vertical="top"/>
    </xf>
    <xf numFmtId="43" fontId="11" fillId="0" borderId="8" xfId="37" applyFont="1" applyBorder="1" applyAlignment="1">
      <alignment vertical="top"/>
    </xf>
    <xf numFmtId="43" fontId="11" fillId="0" borderId="12" xfId="37" applyFont="1" applyBorder="1" applyAlignment="1">
      <alignment vertical="top"/>
    </xf>
    <xf numFmtId="43" fontId="10" fillId="5" borderId="10" xfId="37" applyFont="1" applyFill="1" applyBorder="1" applyAlignment="1">
      <alignment vertical="top" wrapText="1"/>
    </xf>
    <xf numFmtId="43" fontId="10" fillId="4" borderId="11" xfId="37" applyFont="1" applyFill="1" applyBorder="1" applyAlignment="1">
      <alignment horizontal="center" vertical="top"/>
    </xf>
    <xf numFmtId="43" fontId="11" fillId="0" borderId="10" xfId="37" applyFont="1" applyBorder="1" applyAlignment="1">
      <alignment vertical="top"/>
    </xf>
    <xf numFmtId="43" fontId="11" fillId="0" borderId="13" xfId="37" applyFont="1" applyBorder="1" applyAlignment="1">
      <alignment vertical="top"/>
    </xf>
    <xf numFmtId="43" fontId="11" fillId="0" borderId="13" xfId="37" applyFont="1" applyFill="1" applyBorder="1" applyAlignment="1">
      <alignment vertical="top"/>
    </xf>
    <xf numFmtId="43" fontId="11" fillId="0" borderId="12" xfId="37" applyFont="1" applyBorder="1" applyAlignment="1">
      <alignment horizontal="center" vertical="top"/>
    </xf>
    <xf numFmtId="43" fontId="10" fillId="5" borderId="7" xfId="37" applyFont="1" applyFill="1" applyBorder="1" applyAlignment="1">
      <alignment horizontal="center" vertical="top"/>
    </xf>
    <xf numFmtId="43" fontId="11" fillId="0" borderId="2" xfId="37" applyFont="1" applyBorder="1" applyAlignment="1">
      <alignment vertical="top"/>
    </xf>
    <xf numFmtId="43" fontId="10" fillId="3" borderId="11" xfId="37" applyFont="1" applyFill="1" applyBorder="1" applyAlignment="1">
      <alignment horizontal="center" vertical="top"/>
    </xf>
    <xf numFmtId="43" fontId="10" fillId="4" borderId="10" xfId="37" applyFont="1" applyFill="1" applyBorder="1" applyAlignment="1">
      <alignment horizontal="left" vertical="top"/>
    </xf>
    <xf numFmtId="43" fontId="11" fillId="0" borderId="17" xfId="37" applyFont="1" applyBorder="1" applyAlignment="1">
      <alignment vertical="top"/>
    </xf>
    <xf numFmtId="43" fontId="10" fillId="3" borderId="10" xfId="37" applyFont="1" applyFill="1" applyBorder="1" applyAlignment="1">
      <alignment horizontal="center" vertical="top"/>
    </xf>
    <xf numFmtId="43" fontId="10" fillId="5" borderId="10" xfId="37" applyFont="1" applyFill="1" applyBorder="1" applyAlignment="1">
      <alignment horizontal="left" vertical="top" wrapText="1"/>
    </xf>
    <xf numFmtId="43" fontId="10" fillId="5" borderId="15" xfId="37" applyFont="1" applyFill="1" applyBorder="1" applyAlignment="1">
      <alignment horizontal="center" vertical="top"/>
    </xf>
    <xf numFmtId="43" fontId="11" fillId="0" borderId="20" xfId="37" applyFont="1" applyBorder="1" applyAlignment="1">
      <alignment vertical="top"/>
    </xf>
    <xf numFmtId="43" fontId="11" fillId="0" borderId="12" xfId="37" applyFont="1" applyFill="1" applyBorder="1" applyAlignment="1">
      <alignment vertical="top"/>
    </xf>
    <xf numFmtId="43" fontId="11" fillId="0" borderId="8" xfId="37" applyFont="1" applyFill="1" applyBorder="1" applyAlignment="1">
      <alignment vertical="top"/>
    </xf>
    <xf numFmtId="43" fontId="11" fillId="0" borderId="11" xfId="37" applyFont="1" applyBorder="1" applyAlignment="1">
      <alignment vertical="top"/>
    </xf>
    <xf numFmtId="43" fontId="9" fillId="0" borderId="6" xfId="37" applyFont="1" applyFill="1" applyBorder="1" applyAlignment="1">
      <alignment horizontal="center" vertical="center"/>
    </xf>
    <xf numFmtId="43" fontId="11" fillId="0" borderId="10" xfId="37" applyFont="1" applyFill="1" applyBorder="1" applyAlignment="1">
      <alignment vertical="top"/>
    </xf>
    <xf numFmtId="43" fontId="11" fillId="0" borderId="9" xfId="37" applyFont="1" applyBorder="1" applyAlignment="1">
      <alignment vertical="top"/>
    </xf>
    <xf numFmtId="43" fontId="10" fillId="3" borderId="12" xfId="37" applyFont="1" applyFill="1" applyBorder="1" applyAlignment="1">
      <alignment horizontal="left" vertical="top" wrapText="1"/>
    </xf>
    <xf numFmtId="43" fontId="10" fillId="4" borderId="12" xfId="37" applyFont="1" applyFill="1" applyBorder="1" applyAlignment="1">
      <alignment horizontal="left" vertical="top"/>
    </xf>
    <xf numFmtId="43" fontId="10" fillId="5" borderId="11" xfId="37" applyFont="1" applyFill="1" applyBorder="1" applyAlignment="1">
      <alignment horizontal="center" vertical="top"/>
    </xf>
    <xf numFmtId="43" fontId="10" fillId="7" borderId="10" xfId="37" applyFont="1" applyFill="1" applyBorder="1" applyAlignment="1">
      <alignment horizontal="left" vertical="top"/>
    </xf>
    <xf numFmtId="43" fontId="10" fillId="4" borderId="10" xfId="37" applyFont="1" applyFill="1" applyBorder="1" applyAlignment="1">
      <alignment horizontal="center" vertical="top"/>
    </xf>
    <xf numFmtId="43" fontId="10" fillId="4" borderId="6" xfId="37" applyFont="1" applyFill="1" applyBorder="1" applyAlignment="1">
      <alignment horizontal="center" vertical="top"/>
    </xf>
    <xf numFmtId="43" fontId="10" fillId="13" borderId="10" xfId="37" applyFont="1" applyFill="1" applyBorder="1" applyAlignment="1">
      <alignment horizontal="right" vertical="top"/>
    </xf>
    <xf numFmtId="41" fontId="16" fillId="0" borderId="13" xfId="0" applyNumberFormat="1" applyFont="1" applyBorder="1" applyAlignment="1">
      <alignment vertical="top"/>
    </xf>
    <xf numFmtId="0" fontId="16" fillId="0" borderId="14" xfId="1" applyFont="1" applyFill="1" applyBorder="1" applyAlignment="1">
      <alignment horizontal="left" vertical="top" wrapText="1"/>
    </xf>
    <xf numFmtId="41" fontId="16" fillId="0" borderId="15" xfId="0" applyNumberFormat="1" applyFont="1" applyBorder="1" applyAlignment="1">
      <alignment vertical="top"/>
    </xf>
    <xf numFmtId="43" fontId="16" fillId="0" borderId="13" xfId="37" applyFont="1" applyBorder="1" applyAlignment="1">
      <alignment vertical="top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43" fontId="11" fillId="0" borderId="6" xfId="37" applyFont="1" applyFill="1" applyBorder="1" applyAlignment="1">
      <alignment vertical="top"/>
    </xf>
    <xf numFmtId="0" fontId="2" fillId="0" borderId="6" xfId="0" applyFont="1" applyFill="1" applyBorder="1" applyAlignment="1">
      <alignment horizontal="center" vertical="center" wrapText="1"/>
    </xf>
    <xf numFmtId="41" fontId="11" fillId="0" borderId="5" xfId="0" applyNumberFormat="1" applyFont="1" applyFill="1" applyBorder="1" applyAlignment="1">
      <alignment vertical="top"/>
    </xf>
    <xf numFmtId="41" fontId="11" fillId="0" borderId="6" xfId="0" applyNumberFormat="1" applyFont="1" applyFill="1" applyBorder="1" applyAlignment="1">
      <alignment vertical="top"/>
    </xf>
    <xf numFmtId="0" fontId="15" fillId="0" borderId="6" xfId="0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left" vertical="top"/>
    </xf>
    <xf numFmtId="41" fontId="11" fillId="0" borderId="11" xfId="1" applyNumberFormat="1" applyFont="1" applyFill="1" applyBorder="1" applyAlignment="1">
      <alignment vertical="top" wrapText="1"/>
    </xf>
    <xf numFmtId="41" fontId="11" fillId="0" borderId="11" xfId="2" applyNumberFormat="1" applyFont="1" applyFill="1" applyBorder="1" applyAlignment="1">
      <alignment vertical="top"/>
    </xf>
    <xf numFmtId="41" fontId="11" fillId="0" borderId="10" xfId="2" applyNumberFormat="1" applyFont="1" applyFill="1" applyBorder="1" applyAlignment="1">
      <alignment vertical="top"/>
    </xf>
    <xf numFmtId="41" fontId="11" fillId="0" borderId="10" xfId="3" applyNumberFormat="1" applyFont="1" applyFill="1" applyBorder="1" applyAlignment="1">
      <alignment vertical="top"/>
    </xf>
    <xf numFmtId="41" fontId="11" fillId="0" borderId="12" xfId="3" applyNumberFormat="1" applyFont="1" applyFill="1" applyBorder="1" applyAlignment="1">
      <alignment vertical="top"/>
    </xf>
    <xf numFmtId="0" fontId="15" fillId="0" borderId="11" xfId="0" applyFont="1" applyFill="1" applyBorder="1" applyAlignment="1">
      <alignment horizontal="center" vertical="center" wrapText="1"/>
    </xf>
    <xf numFmtId="43" fontId="11" fillId="13" borderId="10" xfId="37" applyFont="1" applyFill="1" applyBorder="1" applyAlignment="1">
      <alignment horizontal="right" vertical="top"/>
    </xf>
    <xf numFmtId="43" fontId="10" fillId="13" borderId="12" xfId="37" applyFont="1" applyFill="1" applyBorder="1" applyAlignment="1">
      <alignment vertical="top"/>
    </xf>
    <xf numFmtId="0" fontId="11" fillId="7" borderId="12" xfId="1" applyFont="1" applyFill="1" applyBorder="1" applyAlignment="1">
      <alignment vertical="top"/>
    </xf>
    <xf numFmtId="0" fontId="10" fillId="7" borderId="5" xfId="1" applyFont="1" applyFill="1" applyBorder="1" applyAlignment="1">
      <alignment horizontal="left" vertical="top"/>
    </xf>
    <xf numFmtId="0" fontId="11" fillId="7" borderId="6" xfId="1" applyFont="1" applyFill="1" applyBorder="1" applyAlignment="1">
      <alignment horizontal="left" vertical="top"/>
    </xf>
    <xf numFmtId="41" fontId="11" fillId="7" borderId="10" xfId="0" applyNumberFormat="1" applyFont="1" applyFill="1" applyBorder="1" applyAlignment="1">
      <alignment vertical="top"/>
    </xf>
    <xf numFmtId="43" fontId="11" fillId="7" borderId="10" xfId="37" applyFont="1" applyFill="1" applyBorder="1" applyAlignment="1">
      <alignment vertical="top"/>
    </xf>
    <xf numFmtId="43" fontId="11" fillId="7" borderId="10" xfId="37" applyFont="1" applyFill="1" applyBorder="1" applyAlignment="1">
      <alignment horizontal="right" vertical="top"/>
    </xf>
    <xf numFmtId="0" fontId="2" fillId="7" borderId="10" xfId="0" applyFont="1" applyFill="1" applyBorder="1" applyAlignment="1">
      <alignment horizontal="center" vertical="center" wrapText="1"/>
    </xf>
    <xf numFmtId="0" fontId="11" fillId="7" borderId="6" xfId="1" applyFont="1" applyFill="1" applyBorder="1" applyAlignment="1">
      <alignment horizontal="left" vertical="top" wrapText="1"/>
    </xf>
    <xf numFmtId="41" fontId="16" fillId="0" borderId="11" xfId="0" applyNumberFormat="1" applyFont="1" applyBorder="1" applyAlignment="1">
      <alignment vertical="top"/>
    </xf>
    <xf numFmtId="41" fontId="16" fillId="0" borderId="12" xfId="0" applyNumberFormat="1" applyFont="1" applyFill="1" applyBorder="1" applyAlignment="1">
      <alignment horizontal="center" vertical="top" wrapText="1"/>
    </xf>
    <xf numFmtId="41" fontId="15" fillId="0" borderId="10" xfId="0" applyNumberFormat="1" applyFont="1" applyFill="1" applyBorder="1" applyAlignment="1">
      <alignment horizontal="center" vertical="top" wrapText="1"/>
    </xf>
    <xf numFmtId="41" fontId="18" fillId="13" borderId="10" xfId="1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2" fillId="0" borderId="1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top" wrapText="1"/>
    </xf>
    <xf numFmtId="41" fontId="19" fillId="0" borderId="10" xfId="0" applyNumberFormat="1" applyFont="1" applyFill="1" applyBorder="1" applyAlignment="1">
      <alignment vertical="top" wrapText="1"/>
    </xf>
    <xf numFmtId="41" fontId="19" fillId="0" borderId="10" xfId="0" applyNumberFormat="1" applyFont="1" applyFill="1" applyBorder="1" applyAlignment="1">
      <alignment horizontal="right" vertical="top"/>
    </xf>
    <xf numFmtId="41" fontId="12" fillId="15" borderId="11" xfId="0" applyNumberFormat="1" applyFont="1" applyFill="1" applyBorder="1" applyAlignment="1">
      <alignment horizontal="right" vertical="top"/>
    </xf>
    <xf numFmtId="41" fontId="12" fillId="0" borderId="10" xfId="0" applyNumberFormat="1" applyFont="1" applyFill="1" applyBorder="1" applyAlignment="1">
      <alignment vertical="top" wrapText="1"/>
    </xf>
    <xf numFmtId="43" fontId="11" fillId="13" borderId="8" xfId="0" applyNumberFormat="1" applyFont="1" applyFill="1" applyBorder="1" applyAlignment="1">
      <alignment vertical="top"/>
    </xf>
    <xf numFmtId="43" fontId="11" fillId="13" borderId="10" xfId="0" applyNumberFormat="1" applyFont="1" applyFill="1" applyBorder="1" applyAlignment="1">
      <alignment horizontal="right" vertical="top"/>
    </xf>
    <xf numFmtId="0" fontId="10" fillId="17" borderId="10" xfId="16" applyFont="1" applyFill="1" applyBorder="1" applyAlignment="1">
      <alignment horizontal="center" vertical="center"/>
    </xf>
    <xf numFmtId="0" fontId="11" fillId="18" borderId="10" xfId="16" applyFont="1" applyFill="1" applyBorder="1" applyAlignment="1">
      <alignment horizontal="center" vertical="top"/>
    </xf>
    <xf numFmtId="0" fontId="11" fillId="18" borderId="10" xfId="16" applyFont="1" applyFill="1" applyBorder="1" applyAlignment="1">
      <alignment horizontal="left" wrapText="1"/>
    </xf>
    <xf numFmtId="43" fontId="11" fillId="18" borderId="10" xfId="5" applyFont="1" applyFill="1" applyBorder="1" applyAlignment="1">
      <alignment horizontal="right" vertical="top"/>
    </xf>
    <xf numFmtId="43" fontId="16" fillId="18" borderId="10" xfId="5" applyFont="1" applyFill="1" applyBorder="1" applyAlignment="1">
      <alignment horizontal="right" vertical="top"/>
    </xf>
    <xf numFmtId="2" fontId="16" fillId="18" borderId="10" xfId="16" applyNumberFormat="1" applyFont="1" applyFill="1" applyBorder="1" applyAlignment="1">
      <alignment horizontal="center" vertical="top"/>
    </xf>
    <xf numFmtId="43" fontId="11" fillId="18" borderId="10" xfId="16" applyNumberFormat="1" applyFont="1" applyFill="1" applyBorder="1" applyAlignment="1">
      <alignment horizontal="right" vertical="top"/>
    </xf>
    <xf numFmtId="0" fontId="11" fillId="18" borderId="10" xfId="16" applyFont="1" applyFill="1" applyBorder="1" applyAlignment="1">
      <alignment horizontal="center" vertical="top" wrapText="1"/>
    </xf>
    <xf numFmtId="0" fontId="10" fillId="17" borderId="10" xfId="16" applyFont="1" applyFill="1" applyBorder="1" applyAlignment="1">
      <alignment horizontal="center"/>
    </xf>
    <xf numFmtId="43" fontId="10" fillId="17" borderId="10" xfId="16" applyNumberFormat="1" applyFont="1" applyFill="1" applyBorder="1" applyAlignment="1">
      <alignment horizontal="right" vertical="top"/>
    </xf>
    <xf numFmtId="2" fontId="10" fillId="17" borderId="10" xfId="16" applyNumberFormat="1" applyFont="1" applyFill="1" applyBorder="1" applyAlignment="1">
      <alignment horizontal="center" vertical="top"/>
    </xf>
    <xf numFmtId="0" fontId="10" fillId="17" borderId="10" xfId="16" applyFont="1" applyFill="1" applyBorder="1" applyAlignment="1">
      <alignment horizontal="right" vertical="top"/>
    </xf>
    <xf numFmtId="0" fontId="11" fillId="7" borderId="5" xfId="1" applyFont="1" applyFill="1" applyBorder="1" applyAlignment="1">
      <alignment vertical="top"/>
    </xf>
    <xf numFmtId="0" fontId="10" fillId="7" borderId="5" xfId="1" applyFont="1" applyFill="1" applyBorder="1" applyAlignment="1">
      <alignment horizontal="left" vertical="top" wrapText="1"/>
    </xf>
    <xf numFmtId="41" fontId="18" fillId="7" borderId="10" xfId="1" applyNumberFormat="1" applyFont="1" applyFill="1" applyBorder="1" applyAlignment="1">
      <alignment horizontal="center" vertical="center" wrapText="1"/>
    </xf>
    <xf numFmtId="0" fontId="10" fillId="13" borderId="0" xfId="1" applyFont="1" applyFill="1" applyAlignment="1">
      <alignment horizontal="center" vertical="top"/>
    </xf>
    <xf numFmtId="0" fontId="10" fillId="13" borderId="0" xfId="1" applyFont="1" applyFill="1" applyAlignment="1">
      <alignment horizontal="center" vertical="top"/>
    </xf>
    <xf numFmtId="0" fontId="10" fillId="13" borderId="8" xfId="1" applyFont="1" applyFill="1" applyBorder="1" applyAlignment="1">
      <alignment horizontal="left" vertical="top" wrapText="1"/>
    </xf>
    <xf numFmtId="41" fontId="10" fillId="13" borderId="11" xfId="1" applyNumberFormat="1" applyFont="1" applyFill="1" applyBorder="1" applyAlignment="1">
      <alignment horizontal="center" vertical="top"/>
    </xf>
    <xf numFmtId="41" fontId="10" fillId="13" borderId="8" xfId="1" applyNumberFormat="1" applyFont="1" applyFill="1" applyBorder="1" applyAlignment="1">
      <alignment horizontal="center" vertical="top"/>
    </xf>
    <xf numFmtId="43" fontId="10" fillId="13" borderId="8" xfId="37" applyFont="1" applyFill="1" applyBorder="1" applyAlignment="1">
      <alignment horizontal="center" vertical="top"/>
    </xf>
    <xf numFmtId="0" fontId="11" fillId="13" borderId="5" xfId="1" applyFont="1" applyFill="1" applyBorder="1" applyAlignment="1">
      <alignment horizontal="left" vertical="top" wrapText="1"/>
    </xf>
    <xf numFmtId="0" fontId="11" fillId="13" borderId="8" xfId="1" applyFont="1" applyFill="1" applyBorder="1" applyAlignment="1">
      <alignment horizontal="left" vertical="top" wrapText="1"/>
    </xf>
    <xf numFmtId="41" fontId="11" fillId="13" borderId="8" xfId="1" applyNumberFormat="1" applyFont="1" applyFill="1" applyBorder="1" applyAlignment="1">
      <alignment horizontal="center" vertical="top"/>
    </xf>
    <xf numFmtId="43" fontId="11" fillId="13" borderId="8" xfId="37" applyFont="1" applyFill="1" applyBorder="1" applyAlignment="1">
      <alignment horizontal="center" vertical="top"/>
    </xf>
    <xf numFmtId="43" fontId="11" fillId="13" borderId="8" xfId="37" applyFont="1" applyFill="1" applyBorder="1" applyAlignment="1">
      <alignment horizontal="center" vertical="top" wrapText="1"/>
    </xf>
    <xf numFmtId="0" fontId="2" fillId="13" borderId="11" xfId="0" applyFont="1" applyFill="1" applyBorder="1" applyAlignment="1">
      <alignment horizontal="center" vertical="center" wrapText="1"/>
    </xf>
    <xf numFmtId="0" fontId="22" fillId="13" borderId="0" xfId="1" applyFont="1" applyFill="1" applyAlignment="1">
      <alignment horizontal="center" vertical="top"/>
    </xf>
    <xf numFmtId="41" fontId="23" fillId="13" borderId="10" xfId="0" applyNumberFormat="1" applyFont="1" applyFill="1" applyBorder="1" applyAlignment="1">
      <alignment horizontal="center" vertical="center" wrapText="1"/>
    </xf>
    <xf numFmtId="0" fontId="23" fillId="13" borderId="10" xfId="0" applyFont="1" applyFill="1" applyBorder="1" applyAlignment="1">
      <alignment horizontal="center" vertical="center"/>
    </xf>
    <xf numFmtId="0" fontId="23" fillId="13" borderId="10" xfId="1" applyFont="1" applyFill="1" applyBorder="1" applyAlignment="1">
      <alignment horizontal="center" vertical="center"/>
    </xf>
    <xf numFmtId="0" fontId="23" fillId="13" borderId="10" xfId="1" applyFont="1" applyFill="1" applyBorder="1" applyAlignment="1">
      <alignment horizontal="center" vertical="top"/>
    </xf>
    <xf numFmtId="41" fontId="23" fillId="13" borderId="10" xfId="1" applyNumberFormat="1" applyFont="1" applyFill="1" applyBorder="1" applyAlignment="1">
      <alignment horizontal="left" vertical="top" wrapText="1"/>
    </xf>
    <xf numFmtId="43" fontId="23" fillId="13" borderId="10" xfId="37" applyFont="1" applyFill="1" applyBorder="1" applyAlignment="1">
      <alignment horizontal="left" vertical="top" wrapText="1"/>
    </xf>
    <xf numFmtId="43" fontId="23" fillId="13" borderId="12" xfId="37" applyFont="1" applyFill="1" applyBorder="1" applyAlignment="1">
      <alignment horizontal="left" vertical="top" wrapText="1"/>
    </xf>
    <xf numFmtId="0" fontId="23" fillId="13" borderId="8" xfId="1" applyFont="1" applyFill="1" applyBorder="1" applyAlignment="1">
      <alignment horizontal="center" vertical="top"/>
    </xf>
    <xf numFmtId="41" fontId="23" fillId="13" borderId="11" xfId="1" applyNumberFormat="1" applyFont="1" applyFill="1" applyBorder="1" applyAlignment="1">
      <alignment horizontal="center" vertical="top"/>
    </xf>
    <xf numFmtId="43" fontId="23" fillId="13" borderId="11" xfId="37" applyFont="1" applyFill="1" applyBorder="1" applyAlignment="1">
      <alignment horizontal="center" vertical="top"/>
    </xf>
    <xf numFmtId="0" fontId="22" fillId="13" borderId="10" xfId="0" applyFont="1" applyFill="1" applyBorder="1" applyAlignment="1">
      <alignment horizontal="center" vertical="center"/>
    </xf>
    <xf numFmtId="0" fontId="22" fillId="13" borderId="10" xfId="1" applyFont="1" applyFill="1" applyBorder="1" applyAlignment="1">
      <alignment horizontal="center" vertical="top"/>
    </xf>
    <xf numFmtId="0" fontId="22" fillId="13" borderId="12" xfId="1" applyFont="1" applyFill="1" applyBorder="1" applyAlignment="1">
      <alignment horizontal="center" vertical="top"/>
    </xf>
    <xf numFmtId="0" fontId="22" fillId="13" borderId="5" xfId="1" applyFont="1" applyFill="1" applyBorder="1" applyAlignment="1">
      <alignment horizontal="center" vertical="top"/>
    </xf>
    <xf numFmtId="0" fontId="22" fillId="13" borderId="6" xfId="1" applyFont="1" applyFill="1" applyBorder="1" applyAlignment="1">
      <alignment horizontal="left" vertical="top" wrapText="1"/>
    </xf>
    <xf numFmtId="41" fontId="22" fillId="13" borderId="10" xfId="0" applyNumberFormat="1" applyFont="1" applyFill="1" applyBorder="1" applyAlignment="1">
      <alignment vertical="top"/>
    </xf>
    <xf numFmtId="41" fontId="22" fillId="13" borderId="8" xfId="0" applyNumberFormat="1" applyFont="1" applyFill="1" applyBorder="1" applyAlignment="1">
      <alignment horizontal="center" vertical="center" wrapText="1"/>
    </xf>
    <xf numFmtId="43" fontId="22" fillId="13" borderId="10" xfId="37" applyFont="1" applyFill="1" applyBorder="1" applyAlignment="1">
      <alignment vertical="top"/>
    </xf>
    <xf numFmtId="43" fontId="22" fillId="13" borderId="12" xfId="37" applyFont="1" applyFill="1" applyBorder="1" applyAlignment="1">
      <alignment vertical="top"/>
    </xf>
    <xf numFmtId="0" fontId="22" fillId="13" borderId="10" xfId="0" applyFont="1" applyFill="1" applyBorder="1" applyAlignment="1">
      <alignment horizontal="center" vertical="center" wrapText="1"/>
    </xf>
    <xf numFmtId="41" fontId="22" fillId="13" borderId="5" xfId="0" applyNumberFormat="1" applyFont="1" applyFill="1" applyBorder="1" applyAlignment="1">
      <alignment vertical="top"/>
    </xf>
    <xf numFmtId="41" fontId="22" fillId="13" borderId="10" xfId="0" applyNumberFormat="1" applyFont="1" applyFill="1" applyBorder="1" applyAlignment="1">
      <alignment horizontal="center" vertical="center" wrapText="1"/>
    </xf>
    <xf numFmtId="41" fontId="22" fillId="13" borderId="12" xfId="0" applyNumberFormat="1" applyFont="1" applyFill="1" applyBorder="1" applyAlignment="1">
      <alignment vertical="top"/>
    </xf>
    <xf numFmtId="0" fontId="22" fillId="13" borderId="13" xfId="1" applyFont="1" applyFill="1" applyBorder="1" applyAlignment="1">
      <alignment horizontal="center" vertical="top"/>
    </xf>
    <xf numFmtId="0" fontId="22" fillId="13" borderId="0" xfId="1" applyFont="1" applyFill="1" applyBorder="1" applyAlignment="1">
      <alignment horizontal="center" vertical="top"/>
    </xf>
    <xf numFmtId="0" fontId="24" fillId="13" borderId="14" xfId="1" applyFont="1" applyFill="1" applyBorder="1" applyAlignment="1">
      <alignment horizontal="left" vertical="top" wrapText="1"/>
    </xf>
    <xf numFmtId="41" fontId="24" fillId="13" borderId="15" xfId="0" applyNumberFormat="1" applyFont="1" applyFill="1" applyBorder="1" applyAlignment="1">
      <alignment vertical="top"/>
    </xf>
    <xf numFmtId="41" fontId="24" fillId="13" borderId="13" xfId="0" applyNumberFormat="1" applyFont="1" applyFill="1" applyBorder="1" applyAlignment="1">
      <alignment vertical="top"/>
    </xf>
    <xf numFmtId="41" fontId="24" fillId="13" borderId="13" xfId="0" applyNumberFormat="1" applyFont="1" applyFill="1" applyBorder="1" applyAlignment="1">
      <alignment horizontal="center" vertical="center" wrapText="1"/>
    </xf>
    <xf numFmtId="43" fontId="24" fillId="13" borderId="13" xfId="37" applyFont="1" applyFill="1" applyBorder="1" applyAlignment="1">
      <alignment vertical="top"/>
    </xf>
    <xf numFmtId="43" fontId="22" fillId="13" borderId="13" xfId="37" applyFont="1" applyFill="1" applyBorder="1" applyAlignment="1">
      <alignment vertical="top"/>
    </xf>
    <xf numFmtId="0" fontId="24" fillId="13" borderId="15" xfId="0" applyFont="1" applyFill="1" applyBorder="1" applyAlignment="1">
      <alignment horizontal="center" vertical="center" wrapText="1"/>
    </xf>
    <xf numFmtId="41" fontId="22" fillId="13" borderId="10" xfId="2" applyNumberFormat="1" applyFont="1" applyFill="1" applyBorder="1" applyAlignment="1">
      <alignment vertical="top"/>
    </xf>
    <xf numFmtId="41" fontId="22" fillId="13" borderId="10" xfId="3" applyNumberFormat="1" applyFont="1" applyFill="1" applyBorder="1" applyAlignment="1">
      <alignment vertical="top"/>
    </xf>
    <xf numFmtId="41" fontId="22" fillId="13" borderId="12" xfId="3" applyNumberFormat="1" applyFont="1" applyFill="1" applyBorder="1" applyAlignment="1">
      <alignment vertical="top"/>
    </xf>
    <xf numFmtId="41" fontId="22" fillId="13" borderId="8" xfId="3" applyNumberFormat="1" applyFont="1" applyFill="1" applyBorder="1" applyAlignment="1">
      <alignment vertical="top" wrapText="1"/>
    </xf>
    <xf numFmtId="0" fontId="24" fillId="13" borderId="10" xfId="0" applyFont="1" applyFill="1" applyBorder="1" applyAlignment="1">
      <alignment horizontal="center" vertical="center" wrapText="1"/>
    </xf>
    <xf numFmtId="0" fontId="22" fillId="13" borderId="8" xfId="1" applyFont="1" applyFill="1" applyBorder="1" applyAlignment="1">
      <alignment horizontal="center" vertical="top"/>
    </xf>
    <xf numFmtId="0" fontId="22" fillId="13" borderId="1" xfId="1" applyFont="1" applyFill="1" applyBorder="1" applyAlignment="1">
      <alignment horizontal="center" vertical="top"/>
    </xf>
    <xf numFmtId="0" fontId="22" fillId="13" borderId="9" xfId="1" applyFont="1" applyFill="1" applyBorder="1" applyAlignment="1">
      <alignment horizontal="left" vertical="top" wrapText="1"/>
    </xf>
    <xf numFmtId="41" fontId="22" fillId="13" borderId="11" xfId="2" applyNumberFormat="1" applyFont="1" applyFill="1" applyBorder="1" applyAlignment="1">
      <alignment vertical="top"/>
    </xf>
    <xf numFmtId="41" fontId="22" fillId="13" borderId="11" xfId="3" applyNumberFormat="1" applyFont="1" applyFill="1" applyBorder="1" applyAlignment="1">
      <alignment vertical="top"/>
    </xf>
    <xf numFmtId="41" fontId="22" fillId="13" borderId="8" xfId="3" applyNumberFormat="1" applyFont="1" applyFill="1" applyBorder="1" applyAlignment="1">
      <alignment vertical="top"/>
    </xf>
    <xf numFmtId="41" fontId="22" fillId="13" borderId="8" xfId="3" applyNumberFormat="1" applyFont="1" applyFill="1" applyBorder="1" applyAlignment="1">
      <alignment horizontal="center" vertical="center" wrapText="1"/>
    </xf>
    <xf numFmtId="43" fontId="22" fillId="13" borderId="8" xfId="37" applyFont="1" applyFill="1" applyBorder="1" applyAlignment="1">
      <alignment vertical="top"/>
    </xf>
    <xf numFmtId="0" fontId="24" fillId="13" borderId="11" xfId="0" applyFont="1" applyFill="1" applyBorder="1" applyAlignment="1">
      <alignment horizontal="center" vertical="center" wrapText="1"/>
    </xf>
    <xf numFmtId="41" fontId="23" fillId="13" borderId="10" xfId="1" applyNumberFormat="1" applyFont="1" applyFill="1" applyBorder="1" applyAlignment="1">
      <alignment horizontal="center" vertical="top"/>
    </xf>
    <xf numFmtId="43" fontId="23" fillId="13" borderId="10" xfId="37" applyFont="1" applyFill="1" applyBorder="1" applyAlignment="1">
      <alignment horizontal="center" vertical="top"/>
    </xf>
    <xf numFmtId="0" fontId="23" fillId="13" borderId="12" xfId="1" applyFont="1" applyFill="1" applyBorder="1" applyAlignment="1">
      <alignment horizontal="center" vertical="top"/>
    </xf>
    <xf numFmtId="0" fontId="23" fillId="13" borderId="5" xfId="1" applyFont="1" applyFill="1" applyBorder="1" applyAlignment="1">
      <alignment horizontal="center" vertical="top"/>
    </xf>
    <xf numFmtId="0" fontId="23" fillId="13" borderId="2" xfId="1" applyFont="1" applyFill="1" applyBorder="1" applyAlignment="1">
      <alignment horizontal="center" vertical="top"/>
    </xf>
    <xf numFmtId="0" fontId="23" fillId="13" borderId="3" xfId="1" applyFont="1" applyFill="1" applyBorder="1" applyAlignment="1">
      <alignment horizontal="center" vertical="top"/>
    </xf>
    <xf numFmtId="41" fontId="22" fillId="13" borderId="11" xfId="0" applyNumberFormat="1" applyFont="1" applyFill="1" applyBorder="1" applyAlignment="1">
      <alignment vertical="top"/>
    </xf>
    <xf numFmtId="41" fontId="22" fillId="13" borderId="8" xfId="0" applyNumberFormat="1" applyFont="1" applyFill="1" applyBorder="1" applyAlignment="1">
      <alignment vertical="top"/>
    </xf>
    <xf numFmtId="0" fontId="23" fillId="13" borderId="5" xfId="1" applyFont="1" applyFill="1" applyBorder="1" applyAlignment="1">
      <alignment horizontal="left" vertical="top" wrapText="1"/>
    </xf>
    <xf numFmtId="41" fontId="22" fillId="13" borderId="12" xfId="0" applyNumberFormat="1" applyFont="1" applyFill="1" applyBorder="1" applyAlignment="1">
      <alignment horizontal="center" vertical="top" wrapText="1"/>
    </xf>
    <xf numFmtId="0" fontId="22" fillId="13" borderId="6" xfId="1" applyFont="1" applyFill="1" applyBorder="1" applyAlignment="1">
      <alignment vertical="top" wrapText="1"/>
    </xf>
    <xf numFmtId="41" fontId="22" fillId="13" borderId="8" xfId="0" applyNumberFormat="1" applyFont="1" applyFill="1" applyBorder="1" applyAlignment="1">
      <alignment horizontal="center" vertical="top" wrapText="1"/>
    </xf>
    <xf numFmtId="49" fontId="22" fillId="13" borderId="10" xfId="0" applyNumberFormat="1" applyFont="1" applyFill="1" applyBorder="1" applyAlignment="1">
      <alignment horizontal="center" vertical="center" wrapText="1"/>
    </xf>
    <xf numFmtId="49" fontId="22" fillId="13" borderId="11" xfId="0" applyNumberFormat="1" applyFont="1" applyFill="1" applyBorder="1" applyAlignment="1">
      <alignment horizontal="center" vertical="center" wrapText="1"/>
    </xf>
    <xf numFmtId="49" fontId="22" fillId="13" borderId="6" xfId="1" applyNumberFormat="1" applyFont="1" applyFill="1" applyBorder="1" applyAlignment="1">
      <alignment vertical="top" wrapText="1"/>
    </xf>
    <xf numFmtId="0" fontId="22" fillId="13" borderId="14" xfId="1" applyFont="1" applyFill="1" applyBorder="1" applyAlignment="1">
      <alignment vertical="top" wrapText="1"/>
    </xf>
    <xf numFmtId="0" fontId="22" fillId="13" borderId="11" xfId="0" applyFont="1" applyFill="1" applyBorder="1" applyAlignment="1">
      <alignment horizontal="center" vertical="center"/>
    </xf>
    <xf numFmtId="41" fontId="24" fillId="13" borderId="12" xfId="0" applyNumberFormat="1" applyFont="1" applyFill="1" applyBorder="1" applyAlignment="1">
      <alignment horizontal="center" vertical="top" wrapText="1"/>
    </xf>
    <xf numFmtId="41" fontId="24" fillId="13" borderId="10" xfId="0" applyNumberFormat="1" applyFont="1" applyFill="1" applyBorder="1" applyAlignment="1">
      <alignment horizontal="center" vertical="top" wrapText="1"/>
    </xf>
    <xf numFmtId="41" fontId="25" fillId="13" borderId="6" xfId="0" applyNumberFormat="1" applyFont="1" applyFill="1" applyBorder="1" applyAlignment="1">
      <alignment horizontal="center" vertical="center"/>
    </xf>
    <xf numFmtId="43" fontId="25" fillId="13" borderId="6" xfId="37" applyFont="1" applyFill="1" applyBorder="1" applyAlignment="1">
      <alignment horizontal="center" vertical="center"/>
    </xf>
    <xf numFmtId="0" fontId="23" fillId="13" borderId="5" xfId="1" applyFont="1" applyFill="1" applyBorder="1" applyAlignment="1">
      <alignment vertical="top"/>
    </xf>
    <xf numFmtId="0" fontId="23" fillId="13" borderId="6" xfId="1" applyFont="1" applyFill="1" applyBorder="1" applyAlignment="1">
      <alignment vertical="top"/>
    </xf>
    <xf numFmtId="0" fontId="22" fillId="13" borderId="11" xfId="0" applyFont="1" applyFill="1" applyBorder="1" applyAlignment="1">
      <alignment horizontal="center" vertical="center" wrapText="1"/>
    </xf>
    <xf numFmtId="0" fontId="22" fillId="13" borderId="7" xfId="0" applyFont="1" applyFill="1" applyBorder="1" applyAlignment="1">
      <alignment vertical="center" wrapText="1"/>
    </xf>
    <xf numFmtId="0" fontId="22" fillId="13" borderId="9" xfId="1" applyFont="1" applyFill="1" applyBorder="1" applyAlignment="1">
      <alignment horizontal="left" vertical="top"/>
    </xf>
    <xf numFmtId="41" fontId="22" fillId="13" borderId="11" xfId="1" applyNumberFormat="1" applyFont="1" applyFill="1" applyBorder="1" applyAlignment="1">
      <alignment vertical="top" wrapText="1"/>
    </xf>
    <xf numFmtId="0" fontId="22" fillId="13" borderId="7" xfId="0" applyFont="1" applyFill="1" applyBorder="1" applyAlignment="1">
      <alignment horizontal="center" vertical="center" wrapText="1"/>
    </xf>
    <xf numFmtId="41" fontId="23" fillId="13" borderId="10" xfId="1" applyNumberFormat="1" applyFont="1" applyFill="1" applyBorder="1" applyAlignment="1">
      <alignment vertical="top" wrapText="1"/>
    </xf>
    <xf numFmtId="43" fontId="23" fillId="13" borderId="10" xfId="37" applyFont="1" applyFill="1" applyBorder="1" applyAlignment="1">
      <alignment vertical="top" wrapText="1"/>
    </xf>
    <xf numFmtId="0" fontId="23" fillId="13" borderId="1" xfId="1" applyFont="1" applyFill="1" applyBorder="1" applyAlignment="1">
      <alignment horizontal="center" vertical="top"/>
    </xf>
    <xf numFmtId="0" fontId="23" fillId="13" borderId="13" xfId="1" applyFont="1" applyFill="1" applyBorder="1" applyAlignment="1">
      <alignment horizontal="center" vertical="top"/>
    </xf>
    <xf numFmtId="0" fontId="22" fillId="13" borderId="4" xfId="1" applyFont="1" applyFill="1" applyBorder="1" applyAlignment="1">
      <alignment horizontal="left" vertical="top" wrapText="1"/>
    </xf>
    <xf numFmtId="41" fontId="22" fillId="13" borderId="17" xfId="0" applyNumberFormat="1" applyFont="1" applyFill="1" applyBorder="1" applyAlignment="1">
      <alignment vertical="top"/>
    </xf>
    <xf numFmtId="43" fontId="22" fillId="13" borderId="17" xfId="37" applyFont="1" applyFill="1" applyBorder="1" applyAlignment="1">
      <alignment vertical="top"/>
    </xf>
    <xf numFmtId="43" fontId="22" fillId="13" borderId="2" xfId="37" applyFont="1" applyFill="1" applyBorder="1" applyAlignment="1">
      <alignment vertical="top"/>
    </xf>
    <xf numFmtId="41" fontId="22" fillId="13" borderId="7" xfId="0" applyNumberFormat="1" applyFont="1" applyFill="1" applyBorder="1" applyAlignment="1">
      <alignment vertical="top"/>
    </xf>
    <xf numFmtId="41" fontId="22" fillId="13" borderId="2" xfId="0" applyNumberFormat="1" applyFont="1" applyFill="1" applyBorder="1" applyAlignment="1">
      <alignment vertical="top"/>
    </xf>
    <xf numFmtId="41" fontId="22" fillId="13" borderId="2" xfId="0" applyNumberFormat="1" applyFont="1" applyFill="1" applyBorder="1" applyAlignment="1">
      <alignment horizontal="center" vertical="top" wrapText="1"/>
    </xf>
    <xf numFmtId="0" fontId="23" fillId="13" borderId="5" xfId="1" applyFont="1" applyFill="1" applyBorder="1" applyAlignment="1">
      <alignment vertical="top" wrapText="1"/>
    </xf>
    <xf numFmtId="0" fontId="22" fillId="13" borderId="5" xfId="1" applyFont="1" applyFill="1" applyBorder="1" applyAlignment="1">
      <alignment horizontal="left" vertical="top" wrapText="1"/>
    </xf>
    <xf numFmtId="41" fontId="22" fillId="13" borderId="6" xfId="0" applyNumberFormat="1" applyFont="1" applyFill="1" applyBorder="1" applyAlignment="1">
      <alignment horizontal="center" vertical="center" wrapText="1"/>
    </xf>
    <xf numFmtId="41" fontId="22" fillId="13" borderId="6" xfId="0" applyNumberFormat="1" applyFont="1" applyFill="1" applyBorder="1" applyAlignment="1">
      <alignment vertical="top"/>
    </xf>
    <xf numFmtId="43" fontId="22" fillId="13" borderId="6" xfId="37" applyFont="1" applyFill="1" applyBorder="1" applyAlignment="1">
      <alignment vertical="top"/>
    </xf>
    <xf numFmtId="0" fontId="24" fillId="13" borderId="6" xfId="0" applyFont="1" applyFill="1" applyBorder="1" applyAlignment="1">
      <alignment horizontal="center" vertical="center" wrapText="1"/>
    </xf>
    <xf numFmtId="0" fontId="22" fillId="13" borderId="1" xfId="1" applyFont="1" applyFill="1" applyBorder="1" applyAlignment="1">
      <alignment horizontal="left" vertical="top"/>
    </xf>
    <xf numFmtId="41" fontId="22" fillId="13" borderId="1" xfId="0" applyNumberFormat="1" applyFont="1" applyFill="1" applyBorder="1" applyAlignment="1">
      <alignment vertical="top"/>
    </xf>
    <xf numFmtId="41" fontId="22" fillId="13" borderId="9" xfId="0" applyNumberFormat="1" applyFont="1" applyFill="1" applyBorder="1" applyAlignment="1">
      <alignment vertical="top"/>
    </xf>
    <xf numFmtId="43" fontId="22" fillId="13" borderId="9" xfId="37" applyFont="1" applyFill="1" applyBorder="1" applyAlignment="1">
      <alignment vertical="top"/>
    </xf>
    <xf numFmtId="43" fontId="22" fillId="13" borderId="14" xfId="37" applyFont="1" applyFill="1" applyBorder="1" applyAlignment="1">
      <alignment vertical="top"/>
    </xf>
    <xf numFmtId="43" fontId="22" fillId="13" borderId="15" xfId="37" applyFont="1" applyFill="1" applyBorder="1" applyAlignment="1">
      <alignment vertical="top"/>
    </xf>
    <xf numFmtId="0" fontId="24" fillId="13" borderId="9" xfId="0" applyFont="1" applyFill="1" applyBorder="1" applyAlignment="1">
      <alignment horizontal="center" vertical="center" wrapText="1"/>
    </xf>
    <xf numFmtId="41" fontId="23" fillId="13" borderId="8" xfId="1" applyNumberFormat="1" applyFont="1" applyFill="1" applyBorder="1" applyAlignment="1">
      <alignment horizontal="center" vertical="top"/>
    </xf>
    <xf numFmtId="43" fontId="23" fillId="13" borderId="8" xfId="37" applyFont="1" applyFill="1" applyBorder="1" applyAlignment="1">
      <alignment horizontal="center" vertical="top"/>
    </xf>
    <xf numFmtId="0" fontId="23" fillId="13" borderId="8" xfId="1" applyFont="1" applyFill="1" applyBorder="1" applyAlignment="1">
      <alignment horizontal="left" vertical="top" wrapText="1"/>
    </xf>
    <xf numFmtId="0" fontId="22" fillId="13" borderId="8" xfId="1" applyFont="1" applyFill="1" applyBorder="1" applyAlignment="1">
      <alignment horizontal="left" vertical="top" wrapText="1"/>
    </xf>
    <xf numFmtId="41" fontId="22" fillId="13" borderId="11" xfId="1" applyNumberFormat="1" applyFont="1" applyFill="1" applyBorder="1" applyAlignment="1">
      <alignment horizontal="center" vertical="top"/>
    </xf>
    <xf numFmtId="41" fontId="22" fillId="13" borderId="8" xfId="1" applyNumberFormat="1" applyFont="1" applyFill="1" applyBorder="1" applyAlignment="1">
      <alignment horizontal="center" vertical="top"/>
    </xf>
    <xf numFmtId="43" fontId="22" fillId="13" borderId="8" xfId="37" applyFont="1" applyFill="1" applyBorder="1" applyAlignment="1">
      <alignment horizontal="center" vertical="top"/>
    </xf>
    <xf numFmtId="43" fontId="22" fillId="13" borderId="8" xfId="37" applyFont="1" applyFill="1" applyBorder="1" applyAlignment="1">
      <alignment horizontal="center" vertical="top" wrapText="1"/>
    </xf>
    <xf numFmtId="43" fontId="23" fillId="13" borderId="10" xfId="37" applyFont="1" applyFill="1" applyBorder="1" applyAlignment="1">
      <alignment horizontal="left" vertical="top"/>
    </xf>
    <xf numFmtId="41" fontId="10" fillId="0" borderId="11" xfId="0" applyNumberFormat="1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1" fontId="27" fillId="13" borderId="1" xfId="1" applyNumberFormat="1" applyFont="1" applyFill="1" applyBorder="1" applyAlignment="1">
      <alignment vertical="top"/>
    </xf>
    <xf numFmtId="41" fontId="17" fillId="2" borderId="10" xfId="1" applyNumberFormat="1" applyFont="1" applyFill="1" applyBorder="1" applyAlignment="1">
      <alignment horizontal="left" vertical="top"/>
    </xf>
    <xf numFmtId="41" fontId="17" fillId="3" borderId="10" xfId="1" applyNumberFormat="1" applyFont="1" applyFill="1" applyBorder="1" applyAlignment="1">
      <alignment horizontal="left" vertical="top" wrapText="1"/>
    </xf>
    <xf numFmtId="41" fontId="17" fillId="4" borderId="11" xfId="1" applyNumberFormat="1" applyFont="1" applyFill="1" applyBorder="1" applyAlignment="1">
      <alignment horizontal="left" vertical="top"/>
    </xf>
    <xf numFmtId="41" fontId="17" fillId="5" borderId="10" xfId="1" applyNumberFormat="1" applyFont="1" applyFill="1" applyBorder="1" applyAlignment="1">
      <alignment horizontal="center" vertical="top"/>
    </xf>
    <xf numFmtId="41" fontId="21" fillId="0" borderId="12" xfId="0" applyNumberFormat="1" applyFont="1" applyBorder="1" applyAlignment="1">
      <alignment vertical="top"/>
    </xf>
    <xf numFmtId="41" fontId="17" fillId="5" borderId="10" xfId="1" applyNumberFormat="1" applyFont="1" applyFill="1" applyBorder="1" applyAlignment="1">
      <alignment vertical="top" wrapText="1"/>
    </xf>
    <xf numFmtId="41" fontId="17" fillId="4" borderId="11" xfId="1" applyNumberFormat="1" applyFont="1" applyFill="1" applyBorder="1" applyAlignment="1">
      <alignment horizontal="center" vertical="top"/>
    </xf>
    <xf numFmtId="41" fontId="21" fillId="0" borderId="10" xfId="0" applyNumberFormat="1" applyFont="1" applyBorder="1" applyAlignment="1">
      <alignment vertical="top"/>
    </xf>
    <xf numFmtId="41" fontId="28" fillId="13" borderId="10" xfId="0" applyNumberFormat="1" applyFont="1" applyFill="1" applyBorder="1" applyAlignment="1">
      <alignment horizontal="center" vertical="top" wrapText="1"/>
    </xf>
    <xf numFmtId="41" fontId="29" fillId="0" borderId="13" xfId="0" applyNumberFormat="1" applyFont="1" applyBorder="1" applyAlignment="1">
      <alignment horizontal="center" vertical="center" wrapText="1"/>
    </xf>
    <xf numFmtId="41" fontId="21" fillId="0" borderId="11" xfId="0" applyNumberFormat="1" applyFont="1" applyBorder="1" applyAlignment="1">
      <alignment vertical="top"/>
    </xf>
    <xf numFmtId="41" fontId="28" fillId="13" borderId="8" xfId="3" applyNumberFormat="1" applyFont="1" applyFill="1" applyBorder="1" applyAlignment="1">
      <alignment horizontal="center" vertical="top" wrapText="1"/>
    </xf>
    <xf numFmtId="41" fontId="21" fillId="0" borderId="12" xfId="0" applyNumberFormat="1" applyFont="1" applyBorder="1" applyAlignment="1">
      <alignment horizontal="center" vertical="top"/>
    </xf>
    <xf numFmtId="41" fontId="29" fillId="0" borderId="8" xfId="0" applyNumberFormat="1" applyFont="1" applyBorder="1" applyAlignment="1">
      <alignment horizontal="center" vertical="center" wrapText="1"/>
    </xf>
    <xf numFmtId="41" fontId="28" fillId="13" borderId="12" xfId="0" applyNumberFormat="1" applyFont="1" applyFill="1" applyBorder="1" applyAlignment="1">
      <alignment horizontal="center" vertical="top" wrapText="1"/>
    </xf>
    <xf numFmtId="41" fontId="28" fillId="13" borderId="8" xfId="0" applyNumberFormat="1" applyFont="1" applyFill="1" applyBorder="1" applyAlignment="1">
      <alignment horizontal="center" vertical="top" wrapText="1"/>
    </xf>
    <xf numFmtId="41" fontId="17" fillId="3" borderId="11" xfId="1" applyNumberFormat="1" applyFont="1" applyFill="1" applyBorder="1" applyAlignment="1">
      <alignment horizontal="center" vertical="top"/>
    </xf>
    <xf numFmtId="41" fontId="17" fillId="4" borderId="10" xfId="1" applyNumberFormat="1" applyFont="1" applyFill="1" applyBorder="1" applyAlignment="1">
      <alignment horizontal="left" vertical="top"/>
    </xf>
    <xf numFmtId="41" fontId="17" fillId="3" borderId="10" xfId="1" applyNumberFormat="1" applyFont="1" applyFill="1" applyBorder="1" applyAlignment="1">
      <alignment horizontal="center" vertical="top"/>
    </xf>
    <xf numFmtId="41" fontId="17" fillId="5" borderId="10" xfId="1" applyNumberFormat="1" applyFont="1" applyFill="1" applyBorder="1" applyAlignment="1">
      <alignment horizontal="left" vertical="top" wrapText="1"/>
    </xf>
    <xf numFmtId="41" fontId="17" fillId="5" borderId="15" xfId="1" applyNumberFormat="1" applyFont="1" applyFill="1" applyBorder="1" applyAlignment="1">
      <alignment horizontal="center" vertical="top"/>
    </xf>
    <xf numFmtId="41" fontId="21" fillId="0" borderId="12" xfId="0" applyNumberFormat="1" applyFont="1" applyFill="1" applyBorder="1" applyAlignment="1">
      <alignment vertical="top"/>
    </xf>
    <xf numFmtId="41" fontId="21" fillId="0" borderId="2" xfId="0" applyNumberFormat="1" applyFont="1" applyBorder="1" applyAlignment="1">
      <alignment vertical="top"/>
    </xf>
    <xf numFmtId="41" fontId="21" fillId="0" borderId="8" xfId="0" applyNumberFormat="1" applyFont="1" applyBorder="1" applyAlignment="1">
      <alignment vertical="top"/>
    </xf>
    <xf numFmtId="41" fontId="21" fillId="0" borderId="13" xfId="0" applyNumberFormat="1" applyFont="1" applyBorder="1" applyAlignment="1">
      <alignment vertical="top"/>
    </xf>
    <xf numFmtId="41" fontId="17" fillId="5" borderId="7" xfId="1" applyNumberFormat="1" applyFont="1" applyFill="1" applyBorder="1" applyAlignment="1">
      <alignment horizontal="center" vertical="top"/>
    </xf>
    <xf numFmtId="41" fontId="17" fillId="6" borderId="8" xfId="1" applyNumberFormat="1" applyFont="1" applyFill="1" applyBorder="1" applyAlignment="1">
      <alignment horizontal="center" vertical="top"/>
    </xf>
    <xf numFmtId="41" fontId="17" fillId="13" borderId="8" xfId="1" applyNumberFormat="1" applyFont="1" applyFill="1" applyBorder="1" applyAlignment="1">
      <alignment horizontal="center" vertical="top"/>
    </xf>
    <xf numFmtId="41" fontId="17" fillId="7" borderId="10" xfId="1" applyNumberFormat="1" applyFont="1" applyFill="1" applyBorder="1" applyAlignment="1">
      <alignment horizontal="center" vertical="top"/>
    </xf>
    <xf numFmtId="41" fontId="21" fillId="0" borderId="0" xfId="1" applyNumberFormat="1" applyFont="1" applyAlignment="1">
      <alignment horizontal="center" vertical="top"/>
    </xf>
    <xf numFmtId="3" fontId="30" fillId="0" borderId="10" xfId="0" applyNumberFormat="1" applyFont="1" applyBorder="1" applyAlignment="1">
      <alignment horizontal="center" vertical="center" wrapText="1"/>
    </xf>
    <xf numFmtId="41" fontId="21" fillId="0" borderId="10" xfId="0" applyNumberFormat="1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top" wrapText="1"/>
    </xf>
    <xf numFmtId="0" fontId="30" fillId="15" borderId="10" xfId="0" applyFont="1" applyFill="1" applyBorder="1" applyAlignment="1">
      <alignment horizontal="center" vertical="top" wrapText="1"/>
    </xf>
    <xf numFmtId="0" fontId="30" fillId="13" borderId="10" xfId="0" applyFont="1" applyFill="1" applyBorder="1" applyAlignment="1">
      <alignment horizontal="center" vertical="top" wrapText="1"/>
    </xf>
    <xf numFmtId="41" fontId="28" fillId="13" borderId="8" xfId="1" applyNumberFormat="1" applyFont="1" applyFill="1" applyBorder="1" applyAlignment="1">
      <alignment horizontal="center" vertical="top" wrapText="1"/>
    </xf>
    <xf numFmtId="41" fontId="21" fillId="0" borderId="13" xfId="0" applyNumberFormat="1" applyFont="1" applyFill="1" applyBorder="1" applyAlignment="1">
      <alignment vertical="top"/>
    </xf>
    <xf numFmtId="41" fontId="29" fillId="0" borderId="13" xfId="0" applyNumberFormat="1" applyFont="1" applyBorder="1" applyAlignment="1">
      <alignment vertical="top"/>
    </xf>
    <xf numFmtId="41" fontId="21" fillId="0" borderId="12" xfId="3" applyNumberFormat="1" applyFont="1" applyFill="1" applyBorder="1" applyAlignment="1">
      <alignment vertical="top"/>
    </xf>
    <xf numFmtId="41" fontId="21" fillId="0" borderId="8" xfId="3" applyNumberFormat="1" applyFont="1" applyFill="1" applyBorder="1" applyAlignment="1">
      <alignment vertical="top"/>
    </xf>
    <xf numFmtId="41" fontId="21" fillId="0" borderId="12" xfId="0" applyNumberFormat="1" applyFont="1" applyBorder="1" applyAlignment="1">
      <alignment horizontal="center" vertical="top" wrapText="1"/>
    </xf>
    <xf numFmtId="41" fontId="21" fillId="0" borderId="8" xfId="0" applyNumberFormat="1" applyFont="1" applyBorder="1" applyAlignment="1">
      <alignment horizontal="center" vertical="top" wrapText="1"/>
    </xf>
    <xf numFmtId="41" fontId="31" fillId="0" borderId="6" xfId="0" applyNumberFormat="1" applyFont="1" applyFill="1" applyBorder="1" applyAlignment="1">
      <alignment horizontal="center" vertical="center"/>
    </xf>
    <xf numFmtId="41" fontId="21" fillId="0" borderId="17" xfId="0" applyNumberFormat="1" applyFont="1" applyBorder="1" applyAlignment="1">
      <alignment vertical="top"/>
    </xf>
    <xf numFmtId="41" fontId="21" fillId="0" borderId="10" xfId="0" applyNumberFormat="1" applyFont="1" applyFill="1" applyBorder="1" applyAlignment="1">
      <alignment vertical="top"/>
    </xf>
    <xf numFmtId="41" fontId="21" fillId="0" borderId="20" xfId="0" applyNumberFormat="1" applyFont="1" applyBorder="1" applyAlignment="1">
      <alignment vertical="top"/>
    </xf>
    <xf numFmtId="41" fontId="21" fillId="13" borderId="8" xfId="1" applyNumberFormat="1" applyFont="1" applyFill="1" applyBorder="1" applyAlignment="1">
      <alignment horizontal="center" vertical="top" wrapText="1"/>
    </xf>
    <xf numFmtId="41" fontId="32" fillId="13" borderId="1" xfId="1" applyNumberFormat="1" applyFont="1" applyFill="1" applyBorder="1" applyAlignment="1">
      <alignment vertical="top"/>
    </xf>
    <xf numFmtId="41" fontId="33" fillId="0" borderId="11" xfId="0" applyNumberFormat="1" applyFont="1" applyBorder="1" applyAlignment="1">
      <alignment horizontal="center" vertical="center" wrapText="1"/>
    </xf>
    <xf numFmtId="41" fontId="33" fillId="2" borderId="10" xfId="1" applyNumberFormat="1" applyFont="1" applyFill="1" applyBorder="1" applyAlignment="1">
      <alignment horizontal="left" vertical="top"/>
    </xf>
    <xf numFmtId="41" fontId="33" fillId="3" borderId="10" xfId="1" applyNumberFormat="1" applyFont="1" applyFill="1" applyBorder="1" applyAlignment="1">
      <alignment horizontal="left" vertical="top" wrapText="1"/>
    </xf>
    <xf numFmtId="41" fontId="33" fillId="4" borderId="11" xfId="1" applyNumberFormat="1" applyFont="1" applyFill="1" applyBorder="1" applyAlignment="1">
      <alignment horizontal="left" vertical="top"/>
    </xf>
    <xf numFmtId="41" fontId="33" fillId="5" borderId="10" xfId="1" applyNumberFormat="1" applyFont="1" applyFill="1" applyBorder="1" applyAlignment="1">
      <alignment horizontal="center" vertical="top"/>
    </xf>
    <xf numFmtId="41" fontId="34" fillId="0" borderId="8" xfId="0" applyNumberFormat="1" applyFont="1" applyBorder="1" applyAlignment="1">
      <alignment vertical="top"/>
    </xf>
    <xf numFmtId="41" fontId="34" fillId="0" borderId="12" xfId="0" applyNumberFormat="1" applyFont="1" applyBorder="1" applyAlignment="1">
      <alignment vertical="top"/>
    </xf>
    <xf numFmtId="41" fontId="34" fillId="0" borderId="13" xfId="0" applyNumberFormat="1" applyFont="1" applyFill="1" applyBorder="1" applyAlignment="1">
      <alignment vertical="top"/>
    </xf>
    <xf numFmtId="41" fontId="34" fillId="0" borderId="10" xfId="0" applyNumberFormat="1" applyFont="1" applyBorder="1" applyAlignment="1">
      <alignment vertical="top"/>
    </xf>
    <xf numFmtId="41" fontId="34" fillId="0" borderId="12" xfId="0" applyNumberFormat="1" applyFont="1" applyFill="1" applyBorder="1" applyAlignment="1">
      <alignment vertical="top"/>
    </xf>
    <xf numFmtId="41" fontId="33" fillId="5" borderId="10" xfId="1" applyNumberFormat="1" applyFont="1" applyFill="1" applyBorder="1" applyAlignment="1">
      <alignment vertical="top" wrapText="1"/>
    </xf>
    <xf numFmtId="41" fontId="33" fillId="4" borderId="11" xfId="1" applyNumberFormat="1" applyFont="1" applyFill="1" applyBorder="1" applyAlignment="1">
      <alignment horizontal="center" vertical="top"/>
    </xf>
    <xf numFmtId="41" fontId="35" fillId="13" borderId="10" xfId="0" applyNumberFormat="1" applyFont="1" applyFill="1" applyBorder="1" applyAlignment="1">
      <alignment horizontal="center" vertical="top" wrapText="1"/>
    </xf>
    <xf numFmtId="41" fontId="36" fillId="0" borderId="13" xfId="0" applyNumberFormat="1" applyFont="1" applyBorder="1" applyAlignment="1">
      <alignment vertical="top"/>
    </xf>
    <xf numFmtId="41" fontId="34" fillId="0" borderId="11" xfId="0" applyNumberFormat="1" applyFont="1" applyBorder="1" applyAlignment="1">
      <alignment vertical="top"/>
    </xf>
    <xf numFmtId="41" fontId="34" fillId="0" borderId="12" xfId="3" applyNumberFormat="1" applyFont="1" applyFill="1" applyBorder="1" applyAlignment="1">
      <alignment vertical="top"/>
    </xf>
    <xf numFmtId="41" fontId="34" fillId="0" borderId="8" xfId="3" applyNumberFormat="1" applyFont="1" applyFill="1" applyBorder="1" applyAlignment="1">
      <alignment vertical="top"/>
    </xf>
    <xf numFmtId="41" fontId="34" fillId="0" borderId="12" xfId="0" applyNumberFormat="1" applyFont="1" applyBorder="1" applyAlignment="1">
      <alignment horizontal="center" vertical="top"/>
    </xf>
    <xf numFmtId="41" fontId="33" fillId="5" borderId="7" xfId="1" applyNumberFormat="1" applyFont="1" applyFill="1" applyBorder="1" applyAlignment="1">
      <alignment horizontal="center" vertical="top"/>
    </xf>
    <xf numFmtId="41" fontId="34" fillId="0" borderId="2" xfId="0" applyNumberFormat="1" applyFont="1" applyBorder="1" applyAlignment="1">
      <alignment vertical="top"/>
    </xf>
    <xf numFmtId="41" fontId="34" fillId="0" borderId="12" xfId="0" applyNumberFormat="1" applyFont="1" applyBorder="1" applyAlignment="1">
      <alignment horizontal="center" vertical="top" wrapText="1"/>
    </xf>
    <xf numFmtId="41" fontId="37" fillId="0" borderId="6" xfId="0" applyNumberFormat="1" applyFont="1" applyFill="1" applyBorder="1" applyAlignment="1">
      <alignment horizontal="center" vertical="center"/>
    </xf>
    <xf numFmtId="41" fontId="33" fillId="3" borderId="11" xfId="1" applyNumberFormat="1" applyFont="1" applyFill="1" applyBorder="1" applyAlignment="1">
      <alignment horizontal="center" vertical="top"/>
    </xf>
    <xf numFmtId="41" fontId="33" fillId="4" borderId="10" xfId="1" applyNumberFormat="1" applyFont="1" applyFill="1" applyBorder="1" applyAlignment="1">
      <alignment horizontal="left" vertical="top"/>
    </xf>
    <xf numFmtId="41" fontId="34" fillId="0" borderId="17" xfId="0" applyNumberFormat="1" applyFont="1" applyBorder="1" applyAlignment="1">
      <alignment vertical="top"/>
    </xf>
    <xf numFmtId="41" fontId="34" fillId="0" borderId="10" xfId="0" applyNumberFormat="1" applyFont="1" applyFill="1" applyBorder="1" applyAlignment="1">
      <alignment vertical="top"/>
    </xf>
    <xf numFmtId="41" fontId="33" fillId="3" borderId="10" xfId="1" applyNumberFormat="1" applyFont="1" applyFill="1" applyBorder="1" applyAlignment="1">
      <alignment horizontal="center" vertical="top"/>
    </xf>
    <xf numFmtId="41" fontId="33" fillId="5" borderId="10" xfId="1" applyNumberFormat="1" applyFont="1" applyFill="1" applyBorder="1" applyAlignment="1">
      <alignment horizontal="left" vertical="top" wrapText="1"/>
    </xf>
    <xf numFmtId="41" fontId="33" fillId="5" borderId="15" xfId="1" applyNumberFormat="1" applyFont="1" applyFill="1" applyBorder="1" applyAlignment="1">
      <alignment horizontal="center" vertical="top"/>
    </xf>
    <xf numFmtId="41" fontId="34" fillId="0" borderId="20" xfId="0" applyNumberFormat="1" applyFont="1" applyBorder="1" applyAlignment="1">
      <alignment vertical="top"/>
    </xf>
    <xf numFmtId="41" fontId="34" fillId="0" borderId="13" xfId="0" applyNumberFormat="1" applyFont="1" applyBorder="1" applyAlignment="1">
      <alignment vertical="top"/>
    </xf>
    <xf numFmtId="41" fontId="33" fillId="6" borderId="8" xfId="1" applyNumberFormat="1" applyFont="1" applyFill="1" applyBorder="1" applyAlignment="1">
      <alignment horizontal="center" vertical="top"/>
    </xf>
    <xf numFmtId="41" fontId="33" fillId="13" borderId="8" xfId="1" applyNumberFormat="1" applyFont="1" applyFill="1" applyBorder="1" applyAlignment="1">
      <alignment horizontal="center" vertical="top"/>
    </xf>
    <xf numFmtId="41" fontId="33" fillId="7" borderId="10" xfId="1" applyNumberFormat="1" applyFont="1" applyFill="1" applyBorder="1" applyAlignment="1">
      <alignment horizontal="center" vertical="top"/>
    </xf>
    <xf numFmtId="41" fontId="34" fillId="0" borderId="0" xfId="1" applyNumberFormat="1" applyFont="1" applyAlignment="1">
      <alignment horizontal="center" vertical="top"/>
    </xf>
    <xf numFmtId="0" fontId="2" fillId="0" borderId="11" xfId="0" applyFont="1" applyFill="1" applyBorder="1" applyAlignment="1">
      <alignment vertical="center" wrapText="1"/>
    </xf>
    <xf numFmtId="41" fontId="11" fillId="15" borderId="7" xfId="0" applyNumberFormat="1" applyFont="1" applyFill="1" applyBorder="1" applyAlignment="1">
      <alignment horizontal="right" vertical="top"/>
    </xf>
    <xf numFmtId="41" fontId="39" fillId="0" borderId="0" xfId="0" applyNumberFormat="1" applyFont="1"/>
    <xf numFmtId="41" fontId="38" fillId="19" borderId="10" xfId="0" applyNumberFormat="1" applyFont="1" applyFill="1" applyBorder="1" applyAlignment="1">
      <alignment horizontal="center" vertical="center"/>
    </xf>
    <xf numFmtId="41" fontId="38" fillId="19" borderId="10" xfId="0" applyNumberFormat="1" applyFont="1" applyFill="1" applyBorder="1" applyAlignment="1">
      <alignment horizontal="center" vertical="center" wrapText="1"/>
    </xf>
    <xf numFmtId="41" fontId="38" fillId="0" borderId="10" xfId="0" applyNumberFormat="1" applyFont="1" applyBorder="1" applyAlignment="1">
      <alignment horizontal="left" vertical="top" wrapText="1"/>
    </xf>
    <xf numFmtId="41" fontId="38" fillId="0" borderId="10" xfId="37" applyNumberFormat="1" applyFont="1" applyBorder="1" applyAlignment="1">
      <alignment vertical="top"/>
    </xf>
    <xf numFmtId="41" fontId="38" fillId="0" borderId="10" xfId="0" applyNumberFormat="1" applyFont="1" applyBorder="1" applyAlignment="1">
      <alignment horizontal="right" vertical="top"/>
    </xf>
    <xf numFmtId="41" fontId="39" fillId="0" borderId="10" xfId="0" applyNumberFormat="1" applyFont="1" applyBorder="1" applyAlignment="1">
      <alignment horizontal="left" vertical="top" wrapText="1"/>
    </xf>
    <xf numFmtId="41" fontId="39" fillId="0" borderId="10" xfId="37" applyNumberFormat="1" applyFont="1" applyBorder="1" applyAlignment="1">
      <alignment vertical="top"/>
    </xf>
    <xf numFmtId="41" fontId="38" fillId="0" borderId="13" xfId="0" applyNumberFormat="1" applyFont="1" applyBorder="1" applyAlignment="1">
      <alignment horizontal="center" vertical="top"/>
    </xf>
    <xf numFmtId="41" fontId="39" fillId="0" borderId="10" xfId="0" applyNumberFormat="1" applyFont="1" applyFill="1" applyBorder="1" applyAlignment="1">
      <alignment horizontal="left" vertical="top" wrapText="1"/>
    </xf>
    <xf numFmtId="41" fontId="39" fillId="0" borderId="10" xfId="37" applyNumberFormat="1" applyFont="1" applyFill="1" applyBorder="1" applyAlignment="1">
      <alignment vertical="top"/>
    </xf>
    <xf numFmtId="41" fontId="38" fillId="13" borderId="13" xfId="0" applyNumberFormat="1" applyFont="1" applyFill="1" applyBorder="1" applyAlignment="1">
      <alignment horizontal="center" vertical="top"/>
    </xf>
    <xf numFmtId="41" fontId="39" fillId="13" borderId="10" xfId="0" applyNumberFormat="1" applyFont="1" applyFill="1" applyBorder="1" applyAlignment="1">
      <alignment horizontal="left" vertical="top" wrapText="1"/>
    </xf>
    <xf numFmtId="41" fontId="39" fillId="13" borderId="10" xfId="37" applyNumberFormat="1" applyFont="1" applyFill="1" applyBorder="1" applyAlignment="1">
      <alignment vertical="top"/>
    </xf>
    <xf numFmtId="41" fontId="39" fillId="13" borderId="0" xfId="0" applyNumberFormat="1" applyFont="1" applyFill="1"/>
    <xf numFmtId="41" fontId="39" fillId="0" borderId="10" xfId="0" applyNumberFormat="1" applyFont="1" applyBorder="1" applyAlignment="1">
      <alignment vertical="top" wrapText="1"/>
    </xf>
    <xf numFmtId="41" fontId="39" fillId="0" borderId="10" xfId="0" applyNumberFormat="1" applyFont="1" applyBorder="1" applyAlignment="1">
      <alignment vertical="top"/>
    </xf>
    <xf numFmtId="41" fontId="39" fillId="0" borderId="0" xfId="0" applyNumberFormat="1" applyFont="1" applyAlignment="1">
      <alignment vertical="top"/>
    </xf>
    <xf numFmtId="41" fontId="38" fillId="20" borderId="10" xfId="37" applyNumberFormat="1" applyFont="1" applyFill="1" applyBorder="1" applyAlignment="1">
      <alignment vertical="top"/>
    </xf>
    <xf numFmtId="41" fontId="39" fillId="20" borderId="10" xfId="0" applyNumberFormat="1" applyFont="1" applyFill="1" applyBorder="1" applyAlignment="1">
      <alignment vertical="top"/>
    </xf>
    <xf numFmtId="43" fontId="11" fillId="0" borderId="0" xfId="37" applyFont="1" applyAlignment="1">
      <alignment horizontal="center" vertical="top"/>
    </xf>
    <xf numFmtId="41" fontId="11" fillId="13" borderId="10" xfId="1" applyNumberFormat="1" applyFont="1" applyFill="1" applyBorder="1" applyAlignment="1">
      <alignment horizontal="left" vertical="top"/>
    </xf>
    <xf numFmtId="43" fontId="11" fillId="13" borderId="10" xfId="37" applyFont="1" applyFill="1" applyBorder="1" applyAlignment="1">
      <alignment horizontal="left" vertical="top"/>
    </xf>
    <xf numFmtId="41" fontId="10" fillId="0" borderId="0" xfId="1" applyNumberFormat="1" applyFont="1" applyFill="1" applyAlignment="1">
      <alignment horizontal="center" vertical="top"/>
    </xf>
    <xf numFmtId="2" fontId="10" fillId="0" borderId="0" xfId="1" applyNumberFormat="1" applyFont="1" applyFill="1" applyAlignment="1">
      <alignment horizontal="center" vertical="top"/>
    </xf>
    <xf numFmtId="2" fontId="11" fillId="0" borderId="0" xfId="1" applyNumberFormat="1" applyFont="1" applyFill="1" applyAlignment="1">
      <alignment horizontal="center" vertical="top"/>
    </xf>
    <xf numFmtId="41" fontId="40" fillId="13" borderId="8" xfId="3" applyNumberFormat="1" applyFont="1" applyFill="1" applyBorder="1" applyAlignment="1">
      <alignment horizontal="center" vertical="top" wrapText="1"/>
    </xf>
    <xf numFmtId="41" fontId="2" fillId="0" borderId="12" xfId="0" applyNumberFormat="1" applyFont="1" applyBorder="1" applyAlignment="1">
      <alignment horizontal="center" vertical="top" wrapText="1"/>
    </xf>
    <xf numFmtId="0" fontId="10" fillId="0" borderId="12" xfId="1" applyFont="1" applyBorder="1" applyAlignment="1">
      <alignment horizontal="center" vertical="top"/>
    </xf>
    <xf numFmtId="0" fontId="10" fillId="0" borderId="5" xfId="1" applyFont="1" applyBorder="1" applyAlignment="1">
      <alignment horizontal="center" vertical="top"/>
    </xf>
    <xf numFmtId="0" fontId="11" fillId="0" borderId="6" xfId="1" applyFont="1" applyFill="1" applyBorder="1" applyAlignment="1">
      <alignment horizontal="left" vertical="top" wrapText="1"/>
    </xf>
    <xf numFmtId="41" fontId="11" fillId="0" borderId="10" xfId="0" applyNumberFormat="1" applyFont="1" applyBorder="1" applyAlignment="1">
      <alignment vertical="top"/>
    </xf>
    <xf numFmtId="41" fontId="11" fillId="0" borderId="12" xfId="0" applyNumberFormat="1" applyFont="1" applyBorder="1" applyAlignment="1">
      <alignment vertical="top"/>
    </xf>
    <xf numFmtId="0" fontId="2" fillId="0" borderId="10" xfId="0" applyFont="1" applyFill="1" applyBorder="1" applyAlignment="1">
      <alignment horizontal="center" vertical="center" wrapText="1"/>
    </xf>
    <xf numFmtId="43" fontId="11" fillId="0" borderId="12" xfId="37" applyFont="1" applyBorder="1" applyAlignment="1">
      <alignment vertical="top"/>
    </xf>
    <xf numFmtId="41" fontId="21" fillId="0" borderId="8" xfId="0" applyNumberFormat="1" applyFont="1" applyBorder="1" applyAlignment="1">
      <alignment horizontal="center" vertical="center" wrapText="1"/>
    </xf>
    <xf numFmtId="41" fontId="28" fillId="13" borderId="10" xfId="0" applyNumberFormat="1" applyFont="1" applyFill="1" applyBorder="1" applyAlignment="1">
      <alignment horizontal="center" vertical="top" wrapText="1"/>
    </xf>
    <xf numFmtId="41" fontId="21" fillId="0" borderId="6" xfId="0" applyNumberFormat="1" applyFont="1" applyFill="1" applyBorder="1" applyAlignment="1">
      <alignment horizontal="center" vertical="top" wrapText="1"/>
    </xf>
    <xf numFmtId="41" fontId="42" fillId="0" borderId="10" xfId="37" applyNumberFormat="1" applyFont="1" applyBorder="1" applyAlignment="1">
      <alignment horizontal="center" vertical="top"/>
    </xf>
    <xf numFmtId="43" fontId="39" fillId="0" borderId="0" xfId="37" applyFont="1"/>
    <xf numFmtId="43" fontId="38" fillId="19" borderId="10" xfId="37" applyFont="1" applyFill="1" applyBorder="1" applyAlignment="1">
      <alignment horizontal="center" vertical="center" wrapText="1"/>
    </xf>
    <xf numFmtId="43" fontId="38" fillId="0" borderId="10" xfId="37" applyFont="1" applyBorder="1" applyAlignment="1">
      <alignment vertical="top"/>
    </xf>
    <xf numFmtId="43" fontId="39" fillId="0" borderId="10" xfId="37" applyFont="1" applyBorder="1" applyAlignment="1">
      <alignment vertical="top"/>
    </xf>
    <xf numFmtId="43" fontId="39" fillId="0" borderId="10" xfId="37" applyFont="1" applyFill="1" applyBorder="1" applyAlignment="1">
      <alignment vertical="top"/>
    </xf>
    <xf numFmtId="43" fontId="39" fillId="13" borderId="10" xfId="37" applyFont="1" applyFill="1" applyBorder="1" applyAlignment="1">
      <alignment vertical="top"/>
    </xf>
    <xf numFmtId="43" fontId="38" fillId="20" borderId="10" xfId="37" applyFont="1" applyFill="1" applyBorder="1" applyAlignment="1">
      <alignment vertical="top"/>
    </xf>
    <xf numFmtId="41" fontId="39" fillId="0" borderId="10" xfId="0" applyNumberFormat="1" applyFont="1" applyBorder="1" applyAlignment="1">
      <alignment horizontal="center" vertical="top" wrapText="1"/>
    </xf>
    <xf numFmtId="41" fontId="39" fillId="0" borderId="10" xfId="0" applyNumberFormat="1" applyFont="1" applyFill="1" applyBorder="1" applyAlignment="1">
      <alignment horizontal="center" vertical="top" wrapText="1"/>
    </xf>
    <xf numFmtId="41" fontId="42" fillId="0" borderId="10" xfId="0" applyNumberFormat="1" applyFont="1" applyBorder="1" applyAlignment="1">
      <alignment horizontal="center" vertical="top" wrapText="1"/>
    </xf>
    <xf numFmtId="41" fontId="42" fillId="0" borderId="10" xfId="0" applyNumberFormat="1" applyFont="1" applyFill="1" applyBorder="1" applyAlignment="1">
      <alignment horizontal="center" vertical="top" wrapText="1"/>
    </xf>
    <xf numFmtId="41" fontId="41" fillId="0" borderId="10" xfId="0" applyNumberFormat="1" applyFont="1" applyBorder="1" applyAlignment="1">
      <alignment horizontal="center" vertical="top" wrapText="1"/>
    </xf>
    <xf numFmtId="41" fontId="42" fillId="0" borderId="10" xfId="37" applyNumberFormat="1" applyFont="1" applyBorder="1" applyAlignment="1">
      <alignment horizontal="center" vertical="top" wrapText="1"/>
    </xf>
    <xf numFmtId="43" fontId="10" fillId="8" borderId="10" xfId="37" applyFont="1" applyFill="1" applyBorder="1" applyAlignment="1">
      <alignment vertical="top" wrapText="1"/>
    </xf>
    <xf numFmtId="43" fontId="10" fillId="9" borderId="10" xfId="37" applyFont="1" applyFill="1" applyBorder="1" applyAlignment="1">
      <alignment vertical="top" wrapText="1"/>
    </xf>
    <xf numFmtId="43" fontId="10" fillId="10" borderId="10" xfId="37" applyFont="1" applyFill="1" applyBorder="1" applyAlignment="1">
      <alignment vertical="top" wrapText="1"/>
    </xf>
    <xf numFmtId="43" fontId="10" fillId="0" borderId="10" xfId="37" applyFont="1" applyFill="1" applyBorder="1" applyAlignment="1">
      <alignment vertical="top" wrapText="1"/>
    </xf>
    <xf numFmtId="43" fontId="11" fillId="11" borderId="10" xfId="37" applyFont="1" applyFill="1" applyBorder="1" applyAlignment="1">
      <alignment vertical="top" wrapText="1"/>
    </xf>
    <xf numFmtId="43" fontId="10" fillId="12" borderId="10" xfId="37" applyFont="1" applyFill="1" applyBorder="1" applyAlignment="1">
      <alignment vertical="top" wrapText="1"/>
    </xf>
    <xf numFmtId="41" fontId="11" fillId="13" borderId="7" xfId="0" applyNumberFormat="1" applyFont="1" applyFill="1" applyBorder="1" applyAlignment="1">
      <alignment horizontal="right" vertical="top"/>
    </xf>
    <xf numFmtId="41" fontId="21" fillId="0" borderId="10" xfId="0" applyNumberFormat="1" applyFont="1" applyBorder="1" applyAlignment="1">
      <alignment horizontal="center" vertical="top" wrapText="1"/>
    </xf>
    <xf numFmtId="43" fontId="10" fillId="0" borderId="0" xfId="1" applyNumberFormat="1" applyFont="1" applyFill="1" applyAlignment="1">
      <alignment horizontal="center" vertical="top"/>
    </xf>
    <xf numFmtId="43" fontId="10" fillId="0" borderId="0" xfId="1" applyNumberFormat="1" applyFont="1" applyAlignment="1">
      <alignment horizontal="center" vertical="top"/>
    </xf>
    <xf numFmtId="2" fontId="10" fillId="0" borderId="0" xfId="1" applyNumberFormat="1" applyFont="1" applyAlignment="1">
      <alignment horizontal="center" vertical="top"/>
    </xf>
    <xf numFmtId="41" fontId="34" fillId="0" borderId="6" xfId="0" applyNumberFormat="1" applyFont="1" applyFill="1" applyBorder="1" applyAlignment="1">
      <alignment horizontal="center" vertical="top" wrapText="1"/>
    </xf>
    <xf numFmtId="41" fontId="21" fillId="0" borderId="6" xfId="0" applyNumberFormat="1" applyFont="1" applyFill="1" applyBorder="1" applyAlignment="1">
      <alignment vertical="top" wrapText="1"/>
    </xf>
    <xf numFmtId="41" fontId="21" fillId="0" borderId="9" xfId="0" applyNumberFormat="1" applyFont="1" applyBorder="1" applyAlignment="1">
      <alignment horizontal="center" vertical="top" wrapText="1"/>
    </xf>
    <xf numFmtId="41" fontId="2" fillId="13" borderId="10" xfId="0" applyNumberFormat="1" applyFont="1" applyFill="1" applyBorder="1" applyAlignment="1">
      <alignment horizontal="center" vertical="top" wrapText="1"/>
    </xf>
    <xf numFmtId="41" fontId="11" fillId="13" borderId="10" xfId="0" applyNumberFormat="1" applyFont="1" applyFill="1" applyBorder="1" applyAlignment="1">
      <alignment vertical="top" wrapText="1"/>
    </xf>
    <xf numFmtId="41" fontId="18" fillId="13" borderId="10" xfId="0" applyNumberFormat="1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horizontal="center" vertical="top" wrapText="1"/>
    </xf>
    <xf numFmtId="0" fontId="11" fillId="0" borderId="10" xfId="0" applyFont="1" applyFill="1" applyBorder="1" applyAlignment="1">
      <alignment vertical="top" wrapText="1"/>
    </xf>
    <xf numFmtId="43" fontId="11" fillId="0" borderId="10" xfId="37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41" fontId="4" fillId="13" borderId="10" xfId="37" applyNumberFormat="1" applyFont="1" applyFill="1" applyBorder="1" applyAlignment="1">
      <alignment horizontal="center" vertical="top" wrapText="1"/>
    </xf>
    <xf numFmtId="0" fontId="11" fillId="0" borderId="0" xfId="1" applyFont="1" applyAlignment="1">
      <alignment horizontal="center"/>
    </xf>
    <xf numFmtId="41" fontId="21" fillId="0" borderId="12" xfId="0" applyNumberFormat="1" applyFont="1" applyBorder="1" applyAlignment="1">
      <alignment horizontal="center" vertical="center" wrapText="1"/>
    </xf>
    <xf numFmtId="0" fontId="43" fillId="13" borderId="10" xfId="0" applyFont="1" applyFill="1" applyBorder="1" applyAlignment="1">
      <alignment horizontal="center" vertical="top" wrapText="1"/>
    </xf>
    <xf numFmtId="41" fontId="34" fillId="0" borderId="10" xfId="0" applyNumberFormat="1" applyFont="1" applyBorder="1" applyAlignment="1">
      <alignment horizontal="center" vertical="top" wrapText="1"/>
    </xf>
    <xf numFmtId="0" fontId="10" fillId="13" borderId="5" xfId="1" applyFont="1" applyFill="1" applyBorder="1" applyAlignment="1">
      <alignment horizontal="left" vertical="top" wrapText="1"/>
    </xf>
    <xf numFmtId="0" fontId="11" fillId="13" borderId="6" xfId="1" applyFont="1" applyFill="1" applyBorder="1" applyAlignment="1">
      <alignment horizontal="left" vertical="top" wrapText="1"/>
    </xf>
    <xf numFmtId="0" fontId="10" fillId="13" borderId="5" xfId="1" applyFont="1" applyFill="1" applyBorder="1" applyAlignment="1">
      <alignment horizontal="left" vertical="top"/>
    </xf>
    <xf numFmtId="0" fontId="10" fillId="13" borderId="0" xfId="1" applyFont="1" applyFill="1" applyAlignment="1">
      <alignment horizontal="center" vertical="top"/>
    </xf>
    <xf numFmtId="0" fontId="44" fillId="0" borderId="6" xfId="0" applyFont="1" applyBorder="1"/>
    <xf numFmtId="0" fontId="44" fillId="0" borderId="6" xfId="0" applyFont="1" applyBorder="1" applyAlignment="1">
      <alignment wrapText="1"/>
    </xf>
    <xf numFmtId="0" fontId="44" fillId="0" borderId="0" xfId="0" applyFont="1"/>
    <xf numFmtId="0" fontId="44" fillId="0" borderId="9" xfId="0" applyFont="1" applyBorder="1"/>
    <xf numFmtId="0" fontId="44" fillId="0" borderId="6" xfId="0" applyFont="1" applyBorder="1" applyAlignment="1">
      <alignment vertical="center" wrapText="1"/>
    </xf>
    <xf numFmtId="0" fontId="44" fillId="0" borderId="0" xfId="0" applyFont="1" applyAlignment="1">
      <alignment wrapText="1"/>
    </xf>
    <xf numFmtId="0" fontId="39" fillId="0" borderId="6" xfId="0" applyFont="1" applyBorder="1"/>
    <xf numFmtId="0" fontId="44" fillId="0" borderId="5" xfId="0" applyFont="1" applyBorder="1"/>
    <xf numFmtId="41" fontId="2" fillId="0" borderId="10" xfId="0" applyNumberFormat="1" applyFont="1" applyFill="1" applyBorder="1" applyAlignment="1">
      <alignment horizontal="center" vertical="top" wrapText="1"/>
    </xf>
    <xf numFmtId="43" fontId="16" fillId="13" borderId="11" xfId="37" applyFont="1" applyFill="1" applyBorder="1" applyAlignment="1">
      <alignment horizontal="left" vertical="top"/>
    </xf>
    <xf numFmtId="43" fontId="16" fillId="13" borderId="10" xfId="37" applyFont="1" applyFill="1" applyBorder="1" applyAlignment="1">
      <alignment horizontal="center" vertical="top"/>
    </xf>
    <xf numFmtId="41" fontId="34" fillId="0" borderId="8" xfId="0" applyNumberFormat="1" applyFont="1" applyBorder="1" applyAlignment="1">
      <alignment horizontal="center" vertical="top" wrapText="1"/>
    </xf>
    <xf numFmtId="0" fontId="11" fillId="0" borderId="10" xfId="0" applyFont="1" applyFill="1" applyBorder="1" applyAlignment="1">
      <alignment horizontal="left" vertical="top" wrapText="1"/>
    </xf>
    <xf numFmtId="0" fontId="11" fillId="0" borderId="12" xfId="0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top" wrapText="1"/>
    </xf>
    <xf numFmtId="43" fontId="11" fillId="0" borderId="10" xfId="37" applyFont="1" applyFill="1" applyBorder="1" applyAlignment="1">
      <alignment horizontal="left" vertical="top" wrapText="1"/>
    </xf>
    <xf numFmtId="43" fontId="11" fillId="0" borderId="10" xfId="0" applyNumberFormat="1" applyFont="1" applyFill="1" applyBorder="1" applyAlignment="1">
      <alignment horizontal="left" vertical="top" wrapText="1"/>
    </xf>
    <xf numFmtId="0" fontId="11" fillId="13" borderId="6" xfId="1" applyFont="1" applyFill="1" applyBorder="1" applyAlignment="1">
      <alignment horizontal="left" vertical="top" wrapText="1"/>
    </xf>
    <xf numFmtId="0" fontId="10" fillId="13" borderId="5" xfId="1" applyFont="1" applyFill="1" applyBorder="1" applyAlignment="1">
      <alignment horizontal="left" vertical="top"/>
    </xf>
    <xf numFmtId="0" fontId="10" fillId="13" borderId="5" xfId="1" applyFont="1" applyFill="1" applyBorder="1" applyAlignment="1">
      <alignment horizontal="left" vertical="top" wrapText="1"/>
    </xf>
    <xf numFmtId="0" fontId="11" fillId="13" borderId="6" xfId="1" applyFont="1" applyFill="1" applyBorder="1" applyAlignment="1">
      <alignment horizontal="left" vertical="top" wrapText="1"/>
    </xf>
    <xf numFmtId="41" fontId="21" fillId="13" borderId="10" xfId="0" applyNumberFormat="1" applyFont="1" applyFill="1" applyBorder="1" applyAlignment="1">
      <alignment horizontal="center" vertical="top" wrapText="1"/>
    </xf>
    <xf numFmtId="0" fontId="11" fillId="0" borderId="5" xfId="29" applyFont="1" applyFill="1" applyBorder="1" applyAlignment="1">
      <alignment horizontal="left" vertical="top" wrapText="1"/>
    </xf>
    <xf numFmtId="0" fontId="11" fillId="0" borderId="6" xfId="29" applyFont="1" applyFill="1" applyBorder="1" applyAlignment="1">
      <alignment horizontal="left" vertical="top" wrapText="1"/>
    </xf>
    <xf numFmtId="0" fontId="10" fillId="15" borderId="8" xfId="29" applyFont="1" applyFill="1" applyBorder="1" applyAlignment="1">
      <alignment horizontal="center" vertical="top" wrapText="1"/>
    </xf>
    <xf numFmtId="0" fontId="10" fillId="15" borderId="1" xfId="29" applyFont="1" applyFill="1" applyBorder="1" applyAlignment="1">
      <alignment horizontal="center" vertical="top" wrapText="1"/>
    </xf>
    <xf numFmtId="0" fontId="10" fillId="15" borderId="9" xfId="29" applyFont="1" applyFill="1" applyBorder="1" applyAlignment="1">
      <alignment horizontal="center" vertical="top" wrapText="1"/>
    </xf>
    <xf numFmtId="1" fontId="10" fillId="16" borderId="12" xfId="29" applyNumberFormat="1" applyFont="1" applyFill="1" applyBorder="1" applyAlignment="1">
      <alignment horizontal="left" vertical="top" wrapText="1"/>
    </xf>
    <xf numFmtId="1" fontId="10" fillId="16" borderId="5" xfId="29" applyNumberFormat="1" applyFont="1" applyFill="1" applyBorder="1" applyAlignment="1">
      <alignment horizontal="left" vertical="top" wrapText="1"/>
    </xf>
    <xf numFmtId="1" fontId="10" fillId="16" borderId="6" xfId="29" applyNumberFormat="1" applyFont="1" applyFill="1" applyBorder="1" applyAlignment="1">
      <alignment horizontal="left" vertical="top" wrapText="1"/>
    </xf>
    <xf numFmtId="0" fontId="10" fillId="15" borderId="12" xfId="29" applyFont="1" applyFill="1" applyBorder="1" applyAlignment="1">
      <alignment horizontal="left" vertical="top" wrapText="1"/>
    </xf>
    <xf numFmtId="0" fontId="10" fillId="15" borderId="6" xfId="29" applyFont="1" applyFill="1" applyBorder="1" applyAlignment="1">
      <alignment horizontal="left" vertical="top" wrapText="1"/>
    </xf>
    <xf numFmtId="0" fontId="11" fillId="0" borderId="1" xfId="29" applyFont="1" applyFill="1" applyBorder="1" applyAlignment="1">
      <alignment horizontal="left" vertical="top" wrapText="1"/>
    </xf>
    <xf numFmtId="0" fontId="11" fillId="0" borderId="9" xfId="29" applyFont="1" applyFill="1" applyBorder="1" applyAlignment="1">
      <alignment horizontal="left" vertical="top" wrapText="1"/>
    </xf>
    <xf numFmtId="0" fontId="10" fillId="0" borderId="0" xfId="29" applyFont="1" applyFill="1" applyAlignment="1">
      <alignment horizontal="center" vertical="top"/>
    </xf>
    <xf numFmtId="1" fontId="10" fillId="14" borderId="22" xfId="29" applyNumberFormat="1" applyFont="1" applyFill="1" applyBorder="1" applyAlignment="1">
      <alignment horizontal="center" vertical="center" wrapText="1"/>
    </xf>
    <xf numFmtId="1" fontId="10" fillId="14" borderId="23" xfId="29" applyNumberFormat="1" applyFont="1" applyFill="1" applyBorder="1" applyAlignment="1">
      <alignment horizontal="center" vertical="center" wrapText="1"/>
    </xf>
    <xf numFmtId="0" fontId="10" fillId="14" borderId="22" xfId="29" applyFont="1" applyFill="1" applyBorder="1" applyAlignment="1">
      <alignment horizontal="center" vertical="center" wrapText="1"/>
    </xf>
    <xf numFmtId="0" fontId="10" fillId="14" borderId="24" xfId="29" applyFont="1" applyFill="1" applyBorder="1" applyAlignment="1">
      <alignment horizontal="center" vertical="center" wrapText="1"/>
    </xf>
    <xf numFmtId="0" fontId="10" fillId="14" borderId="23" xfId="29" applyFont="1" applyFill="1" applyBorder="1" applyAlignment="1">
      <alignment horizontal="center" vertical="center" wrapText="1"/>
    </xf>
    <xf numFmtId="0" fontId="10" fillId="14" borderId="25" xfId="29" applyFont="1" applyFill="1" applyBorder="1" applyAlignment="1">
      <alignment horizontal="center" vertical="center" wrapText="1"/>
    </xf>
    <xf numFmtId="0" fontId="10" fillId="14" borderId="4" xfId="29" applyFont="1" applyFill="1" applyBorder="1" applyAlignment="1">
      <alignment horizontal="center" vertical="center" wrapText="1"/>
    </xf>
    <xf numFmtId="0" fontId="10" fillId="14" borderId="9" xfId="29" applyFont="1" applyFill="1" applyBorder="1" applyAlignment="1">
      <alignment horizontal="center" vertical="center" wrapText="1"/>
    </xf>
    <xf numFmtId="0" fontId="9" fillId="0" borderId="1" xfId="29" applyFont="1" applyFill="1" applyBorder="1" applyAlignment="1">
      <alignment horizontal="right" vertical="top" wrapText="1"/>
    </xf>
    <xf numFmtId="41" fontId="10" fillId="14" borderId="10" xfId="0" applyNumberFormat="1" applyFont="1" applyFill="1" applyBorder="1" applyAlignment="1">
      <alignment horizontal="center" vertical="center" wrapText="1"/>
    </xf>
    <xf numFmtId="41" fontId="10" fillId="14" borderId="10" xfId="29" applyNumberFormat="1" applyFont="1" applyFill="1" applyBorder="1" applyAlignment="1">
      <alignment horizontal="center" vertical="center" wrapText="1"/>
    </xf>
    <xf numFmtId="0" fontId="10" fillId="0" borderId="0" xfId="29" applyFont="1" applyFill="1" applyBorder="1" applyAlignment="1">
      <alignment horizontal="center" vertical="top" wrapText="1"/>
    </xf>
    <xf numFmtId="0" fontId="10" fillId="0" borderId="5" xfId="29" applyFont="1" applyFill="1" applyBorder="1" applyAlignment="1">
      <alignment horizontal="left" vertical="top" wrapText="1"/>
    </xf>
    <xf numFmtId="0" fontId="10" fillId="0" borderId="6" xfId="29" applyFont="1" applyFill="1" applyBorder="1" applyAlignment="1">
      <alignment horizontal="left" vertical="top" wrapText="1"/>
    </xf>
    <xf numFmtId="0" fontId="10" fillId="0" borderId="10" xfId="29" applyFont="1" applyFill="1" applyBorder="1" applyAlignment="1">
      <alignment horizontal="center" vertical="top" wrapText="1"/>
    </xf>
    <xf numFmtId="0" fontId="10" fillId="13" borderId="1" xfId="29" applyFont="1" applyFill="1" applyBorder="1" applyAlignment="1">
      <alignment horizontal="left" vertical="top" wrapText="1"/>
    </xf>
    <xf numFmtId="0" fontId="10" fillId="15" borderId="5" xfId="29" applyFont="1" applyFill="1" applyBorder="1" applyAlignment="1">
      <alignment horizontal="left" vertical="top" wrapText="1"/>
    </xf>
    <xf numFmtId="0" fontId="10" fillId="15" borderId="0" xfId="29" applyFont="1" applyFill="1" applyBorder="1" applyAlignment="1">
      <alignment horizontal="left" vertical="top" wrapText="1"/>
    </xf>
    <xf numFmtId="0" fontId="10" fillId="15" borderId="14" xfId="29" applyFont="1" applyFill="1" applyBorder="1" applyAlignment="1">
      <alignment horizontal="left" vertical="top" wrapText="1"/>
    </xf>
    <xf numFmtId="0" fontId="10" fillId="16" borderId="8" xfId="29" applyFont="1" applyFill="1" applyBorder="1" applyAlignment="1">
      <alignment horizontal="left" vertical="top"/>
    </xf>
    <xf numFmtId="0" fontId="10" fillId="16" borderId="1" xfId="29" applyFont="1" applyFill="1" applyBorder="1" applyAlignment="1">
      <alignment horizontal="left" vertical="top"/>
    </xf>
    <xf numFmtId="0" fontId="10" fillId="16" borderId="9" xfId="29" applyFont="1" applyFill="1" applyBorder="1" applyAlignment="1">
      <alignment horizontal="left" vertical="top"/>
    </xf>
    <xf numFmtId="0" fontId="10" fillId="16" borderId="13" xfId="29" applyFont="1" applyFill="1" applyBorder="1" applyAlignment="1">
      <alignment horizontal="left" vertical="top" wrapText="1"/>
    </xf>
    <xf numFmtId="0" fontId="10" fillId="16" borderId="0" xfId="29" applyFont="1" applyFill="1" applyBorder="1" applyAlignment="1">
      <alignment horizontal="left" vertical="top"/>
    </xf>
    <xf numFmtId="0" fontId="10" fillId="15" borderId="8" xfId="29" applyFont="1" applyFill="1" applyBorder="1" applyAlignment="1">
      <alignment horizontal="left" vertical="top" wrapText="1"/>
    </xf>
    <xf numFmtId="0" fontId="10" fillId="15" borderId="9" xfId="29" applyFont="1" applyFill="1" applyBorder="1" applyAlignment="1">
      <alignment horizontal="left" vertical="top" wrapText="1"/>
    </xf>
    <xf numFmtId="0" fontId="10" fillId="8" borderId="10" xfId="0" applyFont="1" applyFill="1" applyBorder="1" applyAlignment="1">
      <alignment horizontal="left" vertical="top" wrapText="1"/>
    </xf>
    <xf numFmtId="0" fontId="10" fillId="9" borderId="10" xfId="0" applyFont="1" applyFill="1" applyBorder="1" applyAlignment="1">
      <alignment horizontal="left" vertical="top" wrapText="1"/>
    </xf>
    <xf numFmtId="0" fontId="10" fillId="8" borderId="11" xfId="0" applyFont="1" applyFill="1" applyBorder="1" applyAlignment="1">
      <alignment horizontal="center" vertical="top" wrapText="1"/>
    </xf>
    <xf numFmtId="0" fontId="10" fillId="8" borderId="10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0" fillId="10" borderId="10" xfId="0" applyFont="1" applyFill="1" applyBorder="1" applyAlignment="1">
      <alignment horizontal="left" vertical="top" wrapText="1"/>
    </xf>
    <xf numFmtId="0" fontId="10" fillId="11" borderId="10" xfId="0" applyFont="1" applyFill="1" applyBorder="1" applyAlignment="1">
      <alignment vertical="top" wrapText="1"/>
    </xf>
    <xf numFmtId="0" fontId="10" fillId="12" borderId="10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9" fillId="0" borderId="0" xfId="1" applyFont="1" applyBorder="1" applyAlignment="1">
      <alignment horizontal="right" vertical="top"/>
    </xf>
    <xf numFmtId="0" fontId="10" fillId="0" borderId="7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41" fontId="10" fillId="0" borderId="12" xfId="0" applyNumberFormat="1" applyFont="1" applyFill="1" applyBorder="1" applyAlignment="1">
      <alignment horizontal="center" vertical="center" wrapText="1"/>
    </xf>
    <xf numFmtId="41" fontId="10" fillId="0" borderId="6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1" fontId="10" fillId="0" borderId="10" xfId="0" applyNumberFormat="1" applyFont="1" applyBorder="1" applyAlignment="1">
      <alignment horizontal="center" vertical="center" wrapText="1"/>
    </xf>
    <xf numFmtId="0" fontId="10" fillId="13" borderId="12" xfId="1" applyFont="1" applyFill="1" applyBorder="1" applyAlignment="1">
      <alignment horizontal="left" vertical="top" wrapText="1"/>
    </xf>
    <xf numFmtId="0" fontId="10" fillId="13" borderId="5" xfId="1" applyFont="1" applyFill="1" applyBorder="1" applyAlignment="1">
      <alignment horizontal="left" vertical="top" wrapText="1"/>
    </xf>
    <xf numFmtId="0" fontId="10" fillId="13" borderId="6" xfId="1" applyFont="1" applyFill="1" applyBorder="1" applyAlignment="1">
      <alignment horizontal="left" vertical="top" wrapText="1"/>
    </xf>
    <xf numFmtId="0" fontId="11" fillId="13" borderId="5" xfId="1" applyFont="1" applyFill="1" applyBorder="1" applyAlignment="1">
      <alignment horizontal="left" vertical="top" wrapText="1"/>
    </xf>
    <xf numFmtId="0" fontId="11" fillId="13" borderId="6" xfId="1" applyFont="1" applyFill="1" applyBorder="1" applyAlignment="1">
      <alignment horizontal="left" vertical="top" wrapText="1"/>
    </xf>
    <xf numFmtId="0" fontId="10" fillId="0" borderId="0" xfId="1" applyFont="1" applyAlignment="1">
      <alignment horizontal="center" vertical="top"/>
    </xf>
    <xf numFmtId="41" fontId="10" fillId="0" borderId="7" xfId="0" applyNumberFormat="1" applyFont="1" applyBorder="1" applyAlignment="1">
      <alignment horizontal="center" vertical="center" wrapText="1"/>
    </xf>
    <xf numFmtId="41" fontId="10" fillId="0" borderId="11" xfId="0" applyNumberFormat="1" applyFont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left" vertical="top" wrapText="1"/>
    </xf>
    <xf numFmtId="0" fontId="10" fillId="4" borderId="9" xfId="1" applyFont="1" applyFill="1" applyBorder="1" applyAlignment="1">
      <alignment horizontal="left" vertical="top" wrapText="1"/>
    </xf>
    <xf numFmtId="0" fontId="10" fillId="5" borderId="5" xfId="1" applyFont="1" applyFill="1" applyBorder="1" applyAlignment="1">
      <alignment horizontal="left" vertical="top" wrapText="1"/>
    </xf>
    <xf numFmtId="0" fontId="10" fillId="5" borderId="6" xfId="1" applyFont="1" applyFill="1" applyBorder="1" applyAlignment="1">
      <alignment horizontal="left" vertical="top" wrapText="1"/>
    </xf>
    <xf numFmtId="0" fontId="10" fillId="5" borderId="3" xfId="1" applyFont="1" applyFill="1" applyBorder="1" applyAlignment="1">
      <alignment horizontal="left" vertical="top" wrapText="1"/>
    </xf>
    <xf numFmtId="0" fontId="10" fillId="5" borderId="4" xfId="1" applyFont="1" applyFill="1" applyBorder="1" applyAlignment="1">
      <alignment horizontal="left" vertical="top" wrapText="1"/>
    </xf>
    <xf numFmtId="0" fontId="10" fillId="5" borderId="5" xfId="1" applyFont="1" applyFill="1" applyBorder="1" applyAlignment="1">
      <alignment horizontal="left" vertical="top"/>
    </xf>
    <xf numFmtId="0" fontId="10" fillId="5" borderId="6" xfId="1" applyFont="1" applyFill="1" applyBorder="1" applyAlignment="1">
      <alignment horizontal="left" vertical="top"/>
    </xf>
    <xf numFmtId="0" fontId="10" fillId="3" borderId="11" xfId="1" applyFont="1" applyFill="1" applyBorder="1" applyAlignment="1">
      <alignment horizontal="left" vertical="top" wrapText="1"/>
    </xf>
    <xf numFmtId="0" fontId="10" fillId="3" borderId="10" xfId="1" applyFont="1" applyFill="1" applyBorder="1" applyAlignment="1">
      <alignment horizontal="left" vertical="top" wrapText="1"/>
    </xf>
    <xf numFmtId="0" fontId="10" fillId="4" borderId="5" xfId="1" applyFont="1" applyFill="1" applyBorder="1" applyAlignment="1">
      <alignment horizontal="left" vertical="top" wrapText="1"/>
    </xf>
    <xf numFmtId="0" fontId="10" fillId="4" borderId="6" xfId="1" applyFont="1" applyFill="1" applyBorder="1" applyAlignment="1">
      <alignment horizontal="left" vertical="top" wrapText="1"/>
    </xf>
    <xf numFmtId="41" fontId="10" fillId="0" borderId="2" xfId="0" applyNumberFormat="1" applyFont="1" applyBorder="1" applyAlignment="1">
      <alignment horizontal="center" vertical="center" wrapText="1"/>
    </xf>
    <xf numFmtId="41" fontId="10" fillId="0" borderId="3" xfId="0" applyNumberFormat="1" applyFont="1" applyBorder="1" applyAlignment="1">
      <alignment horizontal="center" vertical="center" wrapText="1"/>
    </xf>
    <xf numFmtId="41" fontId="10" fillId="0" borderId="4" xfId="0" applyNumberFormat="1" applyFont="1" applyBorder="1" applyAlignment="1">
      <alignment horizontal="center" vertical="center" wrapText="1"/>
    </xf>
    <xf numFmtId="0" fontId="10" fillId="7" borderId="10" xfId="1" applyFont="1" applyFill="1" applyBorder="1" applyAlignment="1">
      <alignment horizontal="center" vertical="top"/>
    </xf>
    <xf numFmtId="0" fontId="17" fillId="6" borderId="8" xfId="1" applyFont="1" applyFill="1" applyBorder="1" applyAlignment="1">
      <alignment horizontal="left" vertical="top" wrapText="1"/>
    </xf>
    <xf numFmtId="0" fontId="10" fillId="6" borderId="1" xfId="1" applyFont="1" applyFill="1" applyBorder="1" applyAlignment="1">
      <alignment horizontal="left" vertical="top" wrapText="1"/>
    </xf>
    <xf numFmtId="0" fontId="10" fillId="6" borderId="9" xfId="1" applyFont="1" applyFill="1" applyBorder="1" applyAlignment="1">
      <alignment horizontal="left" vertical="top" wrapText="1"/>
    </xf>
    <xf numFmtId="0" fontId="10" fillId="5" borderId="0" xfId="1" applyFont="1" applyFill="1" applyBorder="1" applyAlignment="1">
      <alignment horizontal="left" vertical="top" wrapText="1"/>
    </xf>
    <xf numFmtId="0" fontId="10" fillId="5" borderId="14" xfId="1" applyFont="1" applyFill="1" applyBorder="1" applyAlignment="1">
      <alignment horizontal="left" vertical="top" wrapText="1"/>
    </xf>
    <xf numFmtId="41" fontId="17" fillId="13" borderId="1" xfId="1" applyNumberFormat="1" applyFont="1" applyFill="1" applyBorder="1" applyAlignment="1">
      <alignment horizontal="center" vertical="top"/>
    </xf>
    <xf numFmtId="0" fontId="10" fillId="5" borderId="1" xfId="1" applyFont="1" applyFill="1" applyBorder="1" applyAlignment="1">
      <alignment horizontal="left" vertical="top" wrapText="1"/>
    </xf>
    <xf numFmtId="0" fontId="10" fillId="5" borderId="9" xfId="1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3" fillId="2" borderId="12" xfId="1" applyFont="1" applyFill="1" applyBorder="1" applyAlignment="1">
      <alignment horizontal="center" vertical="top" wrapText="1"/>
    </xf>
    <xf numFmtId="0" fontId="13" fillId="2" borderId="5" xfId="1" applyFont="1" applyFill="1" applyBorder="1" applyAlignment="1">
      <alignment horizontal="center" vertical="top" wrapText="1"/>
    </xf>
    <xf numFmtId="0" fontId="13" fillId="2" borderId="6" xfId="1" applyFont="1" applyFill="1" applyBorder="1" applyAlignment="1">
      <alignment horizontal="center" vertical="top" wrapText="1"/>
    </xf>
    <xf numFmtId="0" fontId="10" fillId="4" borderId="0" xfId="1" applyFont="1" applyFill="1" applyBorder="1" applyAlignment="1">
      <alignment horizontal="left" vertical="top" wrapText="1"/>
    </xf>
    <xf numFmtId="0" fontId="10" fillId="4" borderId="14" xfId="1" applyFont="1" applyFill="1" applyBorder="1" applyAlignment="1">
      <alignment horizontal="left" vertical="top" wrapText="1"/>
    </xf>
    <xf numFmtId="0" fontId="10" fillId="5" borderId="12" xfId="1" applyFont="1" applyFill="1" applyBorder="1" applyAlignment="1">
      <alignment horizontal="left" vertical="top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8" fillId="13" borderId="13" xfId="1" applyFont="1" applyFill="1" applyBorder="1" applyAlignment="1">
      <alignment horizontal="center" vertical="top" wrapText="1"/>
    </xf>
    <xf numFmtId="0" fontId="18" fillId="13" borderId="0" xfId="1" applyFont="1" applyFill="1" applyBorder="1" applyAlignment="1">
      <alignment horizontal="center" vertical="top" wrapText="1"/>
    </xf>
    <xf numFmtId="0" fontId="10" fillId="13" borderId="5" xfId="1" applyFont="1" applyFill="1" applyBorder="1" applyAlignment="1">
      <alignment horizontal="left" vertical="top"/>
    </xf>
    <xf numFmtId="0" fontId="10" fillId="13" borderId="6" xfId="1" applyFont="1" applyFill="1" applyBorder="1" applyAlignment="1">
      <alignment horizontal="left" vertical="top"/>
    </xf>
    <xf numFmtId="0" fontId="10" fillId="13" borderId="10" xfId="1" applyFont="1" applyFill="1" applyBorder="1" applyAlignment="1">
      <alignment horizontal="center" vertical="top"/>
    </xf>
    <xf numFmtId="41" fontId="10" fillId="13" borderId="2" xfId="0" applyNumberFormat="1" applyFont="1" applyFill="1" applyBorder="1" applyAlignment="1">
      <alignment horizontal="center" vertical="center" wrapText="1"/>
    </xf>
    <xf numFmtId="41" fontId="10" fillId="13" borderId="8" xfId="0" applyNumberFormat="1" applyFont="1" applyFill="1" applyBorder="1" applyAlignment="1">
      <alignment horizontal="center" vertical="center" wrapText="1"/>
    </xf>
    <xf numFmtId="0" fontId="10" fillId="13" borderId="12" xfId="1" applyFont="1" applyFill="1" applyBorder="1" applyAlignment="1">
      <alignment horizontal="left" vertical="top"/>
    </xf>
    <xf numFmtId="0" fontId="13" fillId="13" borderId="10" xfId="1" applyFont="1" applyFill="1" applyBorder="1" applyAlignment="1">
      <alignment horizontal="left" vertical="top" wrapText="1"/>
    </xf>
    <xf numFmtId="41" fontId="3" fillId="13" borderId="1" xfId="1" applyNumberFormat="1" applyFont="1" applyFill="1" applyBorder="1" applyAlignment="1">
      <alignment horizontal="right" vertical="center"/>
    </xf>
    <xf numFmtId="0" fontId="10" fillId="13" borderId="0" xfId="1" applyFont="1" applyFill="1" applyAlignment="1">
      <alignment horizontal="center" vertical="top"/>
    </xf>
    <xf numFmtId="0" fontId="10" fillId="13" borderId="2" xfId="1" applyFont="1" applyFill="1" applyBorder="1" applyAlignment="1">
      <alignment horizontal="center" vertical="center" wrapText="1"/>
    </xf>
    <xf numFmtId="0" fontId="10" fillId="13" borderId="3" xfId="1" applyFont="1" applyFill="1" applyBorder="1" applyAlignment="1">
      <alignment horizontal="center" vertical="center" wrapText="1"/>
    </xf>
    <xf numFmtId="0" fontId="10" fillId="13" borderId="4" xfId="1" applyFont="1" applyFill="1" applyBorder="1" applyAlignment="1">
      <alignment horizontal="center" vertical="center" wrapText="1"/>
    </xf>
    <xf numFmtId="0" fontId="10" fillId="13" borderId="8" xfId="1" applyFont="1" applyFill="1" applyBorder="1" applyAlignment="1">
      <alignment horizontal="center" vertical="center" wrapText="1"/>
    </xf>
    <xf numFmtId="0" fontId="10" fillId="13" borderId="1" xfId="1" applyFont="1" applyFill="1" applyBorder="1" applyAlignment="1">
      <alignment horizontal="center" vertical="center" wrapText="1"/>
    </xf>
    <xf numFmtId="0" fontId="10" fillId="13" borderId="9" xfId="1" applyFont="1" applyFill="1" applyBorder="1" applyAlignment="1">
      <alignment horizontal="center" vertical="center" wrapText="1"/>
    </xf>
    <xf numFmtId="41" fontId="10" fillId="13" borderId="10" xfId="0" applyNumberFormat="1" applyFont="1" applyFill="1" applyBorder="1" applyAlignment="1">
      <alignment horizontal="center" vertical="center" wrapText="1"/>
    </xf>
    <xf numFmtId="0" fontId="10" fillId="13" borderId="7" xfId="0" applyFont="1" applyFill="1" applyBorder="1" applyAlignment="1">
      <alignment horizontal="center" vertical="center" wrapText="1"/>
    </xf>
    <xf numFmtId="0" fontId="10" fillId="13" borderId="11" xfId="0" applyFont="1" applyFill="1" applyBorder="1" applyAlignment="1">
      <alignment horizontal="center" vertical="center"/>
    </xf>
    <xf numFmtId="0" fontId="20" fillId="0" borderId="0" xfId="16" applyFont="1" applyAlignment="1">
      <alignment horizontal="center" vertical="center" wrapText="1"/>
    </xf>
    <xf numFmtId="0" fontId="20" fillId="0" borderId="0" xfId="16" applyFont="1" applyAlignment="1">
      <alignment horizontal="center" vertical="center"/>
    </xf>
    <xf numFmtId="0" fontId="10" fillId="17" borderId="10" xfId="16" applyFont="1" applyFill="1" applyBorder="1" applyAlignment="1">
      <alignment horizontal="center" vertical="center" wrapText="1"/>
    </xf>
    <xf numFmtId="0" fontId="26" fillId="13" borderId="0" xfId="1" applyFont="1" applyFill="1" applyAlignment="1">
      <alignment horizontal="center" vertical="top"/>
    </xf>
    <xf numFmtId="0" fontId="23" fillId="13" borderId="10" xfId="1" applyFont="1" applyFill="1" applyBorder="1" applyAlignment="1">
      <alignment horizontal="center" vertical="center" wrapText="1"/>
    </xf>
    <xf numFmtId="0" fontId="23" fillId="13" borderId="1" xfId="1" applyFont="1" applyFill="1" applyBorder="1" applyAlignment="1">
      <alignment horizontal="left" vertical="top" wrapText="1"/>
    </xf>
    <xf numFmtId="0" fontId="23" fillId="13" borderId="9" xfId="1" applyFont="1" applyFill="1" applyBorder="1" applyAlignment="1">
      <alignment horizontal="left" vertical="top" wrapText="1"/>
    </xf>
    <xf numFmtId="0" fontId="23" fillId="13" borderId="5" xfId="1" applyFont="1" applyFill="1" applyBorder="1" applyAlignment="1">
      <alignment horizontal="left" vertical="top" wrapText="1"/>
    </xf>
    <xf numFmtId="0" fontId="23" fillId="13" borderId="6" xfId="1" applyFont="1" applyFill="1" applyBorder="1" applyAlignment="1">
      <alignment horizontal="left" vertical="top" wrapText="1"/>
    </xf>
    <xf numFmtId="0" fontId="23" fillId="13" borderId="10" xfId="1" applyFont="1" applyFill="1" applyBorder="1" applyAlignment="1">
      <alignment horizontal="left" vertical="top" wrapText="1"/>
    </xf>
    <xf numFmtId="0" fontId="23" fillId="13" borderId="11" xfId="1" applyFont="1" applyFill="1" applyBorder="1" applyAlignment="1">
      <alignment horizontal="left" vertical="top" wrapText="1"/>
    </xf>
    <xf numFmtId="0" fontId="23" fillId="13" borderId="3" xfId="1" applyFont="1" applyFill="1" applyBorder="1" applyAlignment="1">
      <alignment horizontal="left" vertical="top" wrapText="1"/>
    </xf>
    <xf numFmtId="0" fontId="23" fillId="13" borderId="4" xfId="1" applyFont="1" applyFill="1" applyBorder="1" applyAlignment="1">
      <alignment horizontal="left" vertical="top" wrapText="1"/>
    </xf>
    <xf numFmtId="0" fontId="22" fillId="13" borderId="5" xfId="1" applyFont="1" applyFill="1" applyBorder="1" applyAlignment="1">
      <alignment horizontal="left" vertical="top" wrapText="1"/>
    </xf>
    <xf numFmtId="0" fontId="22" fillId="13" borderId="6" xfId="1" applyFont="1" applyFill="1" applyBorder="1" applyAlignment="1">
      <alignment horizontal="left" vertical="top" wrapText="1"/>
    </xf>
    <xf numFmtId="0" fontId="23" fillId="13" borderId="10" xfId="1" applyFont="1" applyFill="1" applyBorder="1" applyAlignment="1">
      <alignment horizontal="center" vertical="top"/>
    </xf>
    <xf numFmtId="41" fontId="23" fillId="13" borderId="1" xfId="1" applyNumberFormat="1" applyFont="1" applyFill="1" applyBorder="1" applyAlignment="1">
      <alignment horizontal="left" vertical="top"/>
    </xf>
    <xf numFmtId="0" fontId="23" fillId="13" borderId="12" xfId="1" applyFont="1" applyFill="1" applyBorder="1" applyAlignment="1">
      <alignment horizontal="left" vertical="top" wrapText="1"/>
    </xf>
    <xf numFmtId="41" fontId="38" fillId="0" borderId="0" xfId="0" applyNumberFormat="1" applyFont="1" applyAlignment="1">
      <alignment horizontal="left"/>
    </xf>
    <xf numFmtId="41" fontId="39" fillId="0" borderId="0" xfId="0" applyNumberFormat="1" applyFont="1" applyAlignment="1">
      <alignment horizontal="left"/>
    </xf>
    <xf numFmtId="41" fontId="38" fillId="0" borderId="0" xfId="0" applyNumberFormat="1" applyFont="1" applyAlignment="1">
      <alignment horizontal="center" vertical="center" wrapText="1"/>
    </xf>
    <xf numFmtId="41" fontId="38" fillId="0" borderId="0" xfId="0" applyNumberFormat="1" applyFont="1" applyAlignment="1">
      <alignment horizontal="center" vertical="center"/>
    </xf>
    <xf numFmtId="41" fontId="38" fillId="0" borderId="7" xfId="0" applyNumberFormat="1" applyFont="1" applyBorder="1" applyAlignment="1">
      <alignment horizontal="center" vertical="top"/>
    </xf>
    <xf numFmtId="41" fontId="38" fillId="0" borderId="15" xfId="0" applyNumberFormat="1" applyFont="1" applyBorder="1" applyAlignment="1">
      <alignment horizontal="center" vertical="top"/>
    </xf>
    <xf numFmtId="41" fontId="38" fillId="20" borderId="12" xfId="0" applyNumberFormat="1" applyFont="1" applyFill="1" applyBorder="1" applyAlignment="1">
      <alignment horizontal="center"/>
    </xf>
    <xf numFmtId="41" fontId="38" fillId="20" borderId="6" xfId="0" applyNumberFormat="1" applyFont="1" applyFill="1" applyBorder="1" applyAlignment="1">
      <alignment horizontal="center"/>
    </xf>
    <xf numFmtId="41" fontId="17" fillId="13" borderId="1" xfId="1" applyNumberFormat="1" applyFont="1" applyFill="1" applyBorder="1" applyAlignment="1">
      <alignment horizontal="right" vertical="top"/>
    </xf>
  </cellXfs>
  <cellStyles count="38">
    <cellStyle name="Comma" xfId="37" builtinId="3"/>
    <cellStyle name="Comma 2" xfId="5"/>
    <cellStyle name="Comma 2 2" xfId="6"/>
    <cellStyle name="Comma 2 3" xfId="7"/>
    <cellStyle name="Comma 3" xfId="8"/>
    <cellStyle name="Comma 3 2" xfId="9"/>
    <cellStyle name="Comma 3 3" xfId="10"/>
    <cellStyle name="Comma 3 3 2" xfId="11"/>
    <cellStyle name="Comma 4" xfId="12"/>
    <cellStyle name="Comma 5" xfId="13"/>
    <cellStyle name="Comma 6" xfId="14"/>
    <cellStyle name="Excel Built-in Normal" xfId="15"/>
    <cellStyle name="Normal" xfId="0" builtinId="0"/>
    <cellStyle name="Normal 2" xfId="16"/>
    <cellStyle name="Normal 3" xfId="17"/>
    <cellStyle name="Normal 3 2" xfId="18"/>
    <cellStyle name="Normal 3 3" xfId="19"/>
    <cellStyle name="Normal 4" xfId="20"/>
    <cellStyle name="Normal 4 2" xfId="21"/>
    <cellStyle name="Normal 4 2 2" xfId="22"/>
    <cellStyle name="Normal 5" xfId="23"/>
    <cellStyle name="เครื่องหมายจุลภาค 2" xfId="24"/>
    <cellStyle name="เครื่องหมายจุลภาค 3" xfId="25"/>
    <cellStyle name="เครื่องหมายจุลภาค 4" xfId="26"/>
    <cellStyle name="เครื่องหมายจุลภาค 4 2" xfId="4"/>
    <cellStyle name="เครื่องหมายจุลภาค 5" xfId="3"/>
    <cellStyle name="เครื่องหมายจุลภาค 5 2" xfId="27"/>
    <cellStyle name="เครื่องหมายจุลภาค 6" xfId="28"/>
    <cellStyle name="ปกติ 2" xfId="29"/>
    <cellStyle name="ปกติ 3" xfId="30"/>
    <cellStyle name="ปกติ 4" xfId="31"/>
    <cellStyle name="ปกติ 5" xfId="32"/>
    <cellStyle name="ปกติ 5 2" xfId="33"/>
    <cellStyle name="ปกติ 6" xfId="34"/>
    <cellStyle name="ปกติ 6 2" xfId="2"/>
    <cellStyle name="ปกติ 7" xfId="1"/>
    <cellStyle name="ปกติ 8" xfId="35"/>
    <cellStyle name="ปกติ 9" xfId="36"/>
  </cellStyles>
  <dxfs count="0"/>
  <tableStyles count="0" defaultTableStyle="TableStyleMedium9" defaultPivotStyle="PivotStyleLight16"/>
  <colors>
    <mruColors>
      <color rgb="FFFF33CC"/>
      <color rgb="FF0000FF"/>
      <color rgb="FF6600FF"/>
      <color rgb="FF58267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1</xdr:row>
      <xdr:rowOff>76200</xdr:rowOff>
    </xdr:from>
    <xdr:to>
      <xdr:col>14</xdr:col>
      <xdr:colOff>1266825</xdr:colOff>
      <xdr:row>2</xdr:row>
      <xdr:rowOff>238125</xdr:rowOff>
    </xdr:to>
    <xdr:sp macro="" textlink="">
      <xdr:nvSpPr>
        <xdr:cNvPr id="2" name="TextBox 1"/>
        <xdr:cNvSpPr txBox="1"/>
      </xdr:nvSpPr>
      <xdr:spPr>
        <a:xfrm>
          <a:off x="8467725" y="342900"/>
          <a:ext cx="15049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0">
              <a:solidFill>
                <a:schemeClr val="bg1"/>
              </a:solidFill>
              <a:latin typeface="TH SarabunPSK" pitchFamily="34" charset="-34"/>
              <a:cs typeface="TH SarabunPSK" pitchFamily="34" charset="-34"/>
            </a:rPr>
            <a:t>เอกสารหมายเลข</a:t>
          </a:r>
          <a:r>
            <a:rPr lang="th-TH" sz="1800" b="0" baseline="0">
              <a:solidFill>
                <a:schemeClr val="bg1"/>
              </a:solidFill>
              <a:latin typeface="TH SarabunPSK" pitchFamily="34" charset="-34"/>
              <a:cs typeface="TH SarabunPSK" pitchFamily="34" charset="-34"/>
            </a:rPr>
            <a:t> 5</a:t>
          </a:r>
          <a:endParaRPr lang="th-TH" sz="1800" b="0">
            <a:solidFill>
              <a:schemeClr val="bg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P38"/>
  <sheetViews>
    <sheetView view="pageBreakPreview" zoomScale="85" zoomScaleNormal="90" zoomScaleSheetLayoutView="85" workbookViewId="0">
      <selection activeCell="G9" sqref="G9"/>
    </sheetView>
  </sheetViews>
  <sheetFormatPr defaultColWidth="8" defaultRowHeight="21" x14ac:dyDescent="0.2"/>
  <cols>
    <col min="1" max="1" width="3.125" style="188" customWidth="1"/>
    <col min="2" max="2" width="2.75" style="175" customWidth="1"/>
    <col min="3" max="3" width="40.25" style="175" customWidth="1"/>
    <col min="4" max="4" width="11.25" style="175" customWidth="1"/>
    <col min="5" max="5" width="11.875" style="175" customWidth="1"/>
    <col min="6" max="6" width="11" style="175" customWidth="1"/>
    <col min="7" max="7" width="13.125" style="175" customWidth="1"/>
    <col min="8" max="8" width="10.375" style="175" customWidth="1"/>
    <col min="9" max="9" width="9" style="175" customWidth="1"/>
    <col min="10" max="10" width="10.5" style="175" customWidth="1"/>
    <col min="11" max="11" width="11.25" style="175" customWidth="1"/>
    <col min="12" max="12" width="12.375" style="175" customWidth="1"/>
    <col min="13" max="13" width="11.75" style="175" customWidth="1"/>
    <col min="14" max="14" width="7.5" style="175" customWidth="1"/>
    <col min="15" max="15" width="10.25" style="187" customWidth="1"/>
    <col min="16" max="16" width="20.625" style="175" customWidth="1"/>
    <col min="17" max="16384" width="8" style="175"/>
  </cols>
  <sheetData>
    <row r="1" spans="1:16" s="161" customFormat="1" x14ac:dyDescent="0.2">
      <c r="A1" s="708" t="s">
        <v>178</v>
      </c>
      <c r="B1" s="708"/>
      <c r="C1" s="708"/>
      <c r="D1" s="708"/>
      <c r="E1" s="708"/>
      <c r="F1" s="708"/>
      <c r="G1" s="708"/>
      <c r="H1" s="708"/>
      <c r="I1" s="708"/>
      <c r="J1" s="708"/>
      <c r="K1" s="708"/>
      <c r="L1" s="708"/>
      <c r="M1" s="708"/>
      <c r="N1" s="708"/>
      <c r="O1" s="708"/>
    </row>
    <row r="2" spans="1:16" s="161" customFormat="1" ht="21" customHeight="1" x14ac:dyDescent="0.2">
      <c r="A2" s="720" t="s">
        <v>177</v>
      </c>
      <c r="B2" s="720"/>
      <c r="C2" s="720"/>
      <c r="D2" s="720"/>
      <c r="E2" s="720"/>
      <c r="F2" s="720"/>
      <c r="G2" s="720"/>
      <c r="H2" s="720"/>
      <c r="I2" s="720"/>
      <c r="J2" s="720"/>
      <c r="K2" s="720"/>
      <c r="L2" s="720"/>
      <c r="M2" s="720"/>
      <c r="N2" s="720"/>
      <c r="O2" s="720"/>
    </row>
    <row r="3" spans="1:16" s="161" customFormat="1" x14ac:dyDescent="0.2">
      <c r="A3" s="720" t="s">
        <v>280</v>
      </c>
      <c r="B3" s="720"/>
      <c r="C3" s="720"/>
      <c r="D3" s="720"/>
      <c r="E3" s="720"/>
      <c r="F3" s="720"/>
      <c r="G3" s="720"/>
      <c r="H3" s="720"/>
      <c r="I3" s="720"/>
      <c r="J3" s="720"/>
      <c r="K3" s="720"/>
      <c r="L3" s="720"/>
      <c r="M3" s="720"/>
      <c r="N3" s="720"/>
      <c r="O3" s="720"/>
    </row>
    <row r="4" spans="1:16" s="161" customFormat="1" x14ac:dyDescent="0.2">
      <c r="A4" s="162"/>
      <c r="B4" s="162"/>
      <c r="C4" s="162"/>
      <c r="D4" s="162"/>
      <c r="E4" s="717" t="s">
        <v>502</v>
      </c>
      <c r="F4" s="717"/>
      <c r="G4" s="717"/>
      <c r="H4" s="717"/>
      <c r="I4" s="717"/>
      <c r="J4" s="717"/>
      <c r="K4" s="717"/>
      <c r="L4" s="717"/>
      <c r="M4" s="717"/>
      <c r="N4" s="717"/>
      <c r="O4" s="717"/>
    </row>
    <row r="5" spans="1:16" s="163" customFormat="1" ht="23.25" customHeight="1" x14ac:dyDescent="0.2">
      <c r="A5" s="709" t="s">
        <v>89</v>
      </c>
      <c r="B5" s="711" t="s">
        <v>104</v>
      </c>
      <c r="C5" s="712"/>
      <c r="D5" s="719" t="s">
        <v>1</v>
      </c>
      <c r="E5" s="719"/>
      <c r="F5" s="719"/>
      <c r="G5" s="718" t="s">
        <v>190</v>
      </c>
      <c r="H5" s="718"/>
      <c r="I5" s="718"/>
      <c r="J5" s="718"/>
      <c r="K5" s="718"/>
      <c r="L5" s="718" t="s">
        <v>191</v>
      </c>
      <c r="M5" s="718"/>
      <c r="N5" s="718"/>
      <c r="O5" s="715" t="s">
        <v>2</v>
      </c>
    </row>
    <row r="6" spans="1:16" s="163" customFormat="1" ht="61.5" customHeight="1" x14ac:dyDescent="0.2">
      <c r="A6" s="710"/>
      <c r="B6" s="713"/>
      <c r="C6" s="714"/>
      <c r="D6" s="164" t="s">
        <v>3</v>
      </c>
      <c r="E6" s="164" t="s">
        <v>5</v>
      </c>
      <c r="F6" s="164" t="s">
        <v>4</v>
      </c>
      <c r="G6" s="160" t="s">
        <v>186</v>
      </c>
      <c r="H6" s="160" t="s">
        <v>187</v>
      </c>
      <c r="I6" s="160" t="s">
        <v>262</v>
      </c>
      <c r="J6" s="160" t="s">
        <v>188</v>
      </c>
      <c r="K6" s="160" t="s">
        <v>189</v>
      </c>
      <c r="L6" s="160" t="s">
        <v>192</v>
      </c>
      <c r="M6" s="160" t="s">
        <v>193</v>
      </c>
      <c r="N6" s="160" t="s">
        <v>194</v>
      </c>
      <c r="O6" s="716"/>
    </row>
    <row r="7" spans="1:16" s="168" customFormat="1" ht="23.25" customHeight="1" x14ac:dyDescent="0.35">
      <c r="A7" s="698" t="s">
        <v>83</v>
      </c>
      <c r="B7" s="699"/>
      <c r="C7" s="700"/>
      <c r="D7" s="165">
        <f>E7+F7</f>
        <v>31447700</v>
      </c>
      <c r="E7" s="165">
        <f>E8+E22+E31</f>
        <v>13724700</v>
      </c>
      <c r="F7" s="165">
        <f>F8+F22+F31</f>
        <v>17723000</v>
      </c>
      <c r="G7" s="165"/>
      <c r="H7" s="165"/>
      <c r="I7" s="165"/>
      <c r="J7" s="165">
        <f t="shared" ref="J7:M7" si="0">J8+J22+J31</f>
        <v>5836380</v>
      </c>
      <c r="K7" s="165">
        <f t="shared" si="0"/>
        <v>2083620</v>
      </c>
      <c r="L7" s="165">
        <f t="shared" si="0"/>
        <v>0</v>
      </c>
      <c r="M7" s="165">
        <f t="shared" si="0"/>
        <v>19336380</v>
      </c>
      <c r="N7" s="165">
        <f>L7*100/D7</f>
        <v>0</v>
      </c>
      <c r="O7" s="166"/>
      <c r="P7" s="167" t="e">
        <f>#REF!*100/#REF!</f>
        <v>#REF!</v>
      </c>
    </row>
    <row r="8" spans="1:16" s="168" customFormat="1" ht="46.5" customHeight="1" x14ac:dyDescent="0.2">
      <c r="A8" s="701" t="s">
        <v>105</v>
      </c>
      <c r="B8" s="702"/>
      <c r="C8" s="703"/>
      <c r="D8" s="169">
        <f>E8+F8</f>
        <v>7057700</v>
      </c>
      <c r="E8" s="169">
        <f>E9+E15</f>
        <v>224700</v>
      </c>
      <c r="F8" s="169">
        <f>F9+F15</f>
        <v>6833000</v>
      </c>
      <c r="G8" s="169"/>
      <c r="H8" s="169"/>
      <c r="I8" s="169"/>
      <c r="J8" s="169">
        <f t="shared" ref="J8:M8" si="1">J9+J15</f>
        <v>0</v>
      </c>
      <c r="K8" s="169">
        <f t="shared" si="1"/>
        <v>0</v>
      </c>
      <c r="L8" s="169">
        <f t="shared" si="1"/>
        <v>0</v>
      </c>
      <c r="M8" s="169">
        <f t="shared" si="1"/>
        <v>0</v>
      </c>
      <c r="N8" s="169">
        <f>L8*100/D8</f>
        <v>0</v>
      </c>
      <c r="O8" s="170"/>
      <c r="P8" s="171" t="e">
        <f>#REF!*100/#REF!</f>
        <v>#REF!</v>
      </c>
    </row>
    <row r="9" spans="1:16" ht="47.25" x14ac:dyDescent="0.2">
      <c r="A9" s="185">
        <v>1</v>
      </c>
      <c r="B9" s="704" t="s">
        <v>254</v>
      </c>
      <c r="C9" s="705"/>
      <c r="D9" s="173">
        <f>E9+F9</f>
        <v>6074200</v>
      </c>
      <c r="E9" s="173">
        <f>E10</f>
        <v>164800</v>
      </c>
      <c r="F9" s="174">
        <f>F10</f>
        <v>5909400</v>
      </c>
      <c r="G9" s="540"/>
      <c r="H9" s="174"/>
      <c r="I9" s="174"/>
      <c r="J9" s="174">
        <f t="shared" ref="J9:M9" si="2">J10</f>
        <v>0</v>
      </c>
      <c r="K9" s="174">
        <f t="shared" si="2"/>
        <v>0</v>
      </c>
      <c r="L9" s="174">
        <f t="shared" si="2"/>
        <v>0</v>
      </c>
      <c r="M9" s="174">
        <f t="shared" si="2"/>
        <v>0</v>
      </c>
      <c r="N9" s="174">
        <f>L9*100/D9</f>
        <v>0</v>
      </c>
      <c r="O9" s="280" t="s">
        <v>106</v>
      </c>
    </row>
    <row r="10" spans="1:16" ht="75" x14ac:dyDescent="0.2">
      <c r="A10" s="266"/>
      <c r="B10" s="724" t="s">
        <v>260</v>
      </c>
      <c r="C10" s="724"/>
      <c r="D10" s="270">
        <f>E10+F10</f>
        <v>6074200</v>
      </c>
      <c r="E10" s="267">
        <f>E11</f>
        <v>164800</v>
      </c>
      <c r="F10" s="268">
        <f>F12</f>
        <v>5909400</v>
      </c>
      <c r="G10" s="539" t="s">
        <v>479</v>
      </c>
      <c r="H10" s="268"/>
      <c r="I10" s="268"/>
      <c r="J10" s="268">
        <f t="shared" ref="J10:L10" si="3">J12</f>
        <v>0</v>
      </c>
      <c r="K10" s="268">
        <f t="shared" si="3"/>
        <v>0</v>
      </c>
      <c r="L10" s="268">
        <f t="shared" si="3"/>
        <v>0</v>
      </c>
      <c r="M10" s="268">
        <v>0</v>
      </c>
      <c r="N10" s="268">
        <f>L10*100/D10</f>
        <v>0</v>
      </c>
      <c r="O10" s="269"/>
    </row>
    <row r="11" spans="1:16" ht="21" hidden="1" customHeight="1" x14ac:dyDescent="0.2">
      <c r="A11" s="264"/>
      <c r="B11" s="706" t="s">
        <v>5</v>
      </c>
      <c r="C11" s="707"/>
      <c r="D11" s="177"/>
      <c r="E11" s="177">
        <v>164800</v>
      </c>
      <c r="F11" s="263"/>
      <c r="G11" s="263"/>
      <c r="H11" s="263"/>
      <c r="I11" s="263"/>
      <c r="J11" s="263"/>
      <c r="K11" s="263"/>
      <c r="L11" s="263"/>
      <c r="M11" s="263">
        <f>E11-L11</f>
        <v>164800</v>
      </c>
      <c r="N11" s="263">
        <f>L11*100/E11</f>
        <v>0</v>
      </c>
      <c r="O11" s="189"/>
    </row>
    <row r="12" spans="1:16" ht="28.5" hidden="1" customHeight="1" x14ac:dyDescent="0.2">
      <c r="A12" s="264"/>
      <c r="B12" s="696" t="s">
        <v>4</v>
      </c>
      <c r="C12" s="697"/>
      <c r="D12" s="177"/>
      <c r="E12" s="177"/>
      <c r="F12" s="263">
        <f>F13+F14</f>
        <v>5909400</v>
      </c>
      <c r="G12" s="263"/>
      <c r="H12" s="263"/>
      <c r="I12" s="263"/>
      <c r="J12" s="263">
        <f>J13+J14</f>
        <v>0</v>
      </c>
      <c r="K12" s="263">
        <f t="shared" ref="K12:M12" si="4">K13+K14</f>
        <v>0</v>
      </c>
      <c r="L12" s="263">
        <f t="shared" si="4"/>
        <v>0</v>
      </c>
      <c r="M12" s="263">
        <f t="shared" si="4"/>
        <v>5909400</v>
      </c>
      <c r="N12" s="363" t="e">
        <f>L12*100/J12</f>
        <v>#DIV/0!</v>
      </c>
      <c r="O12" s="189"/>
    </row>
    <row r="13" spans="1:16" hidden="1" x14ac:dyDescent="0.2">
      <c r="A13" s="264"/>
      <c r="B13" s="262"/>
      <c r="C13" s="184" t="s">
        <v>255</v>
      </c>
      <c r="D13" s="177"/>
      <c r="E13" s="177"/>
      <c r="F13" s="263">
        <v>3792600</v>
      </c>
      <c r="G13" s="263"/>
      <c r="H13" s="263"/>
      <c r="I13" s="263"/>
      <c r="J13" s="263"/>
      <c r="K13" s="263"/>
      <c r="L13" s="263"/>
      <c r="M13" s="263">
        <f>F13-L13</f>
        <v>3792600</v>
      </c>
      <c r="N13" s="363" t="e">
        <f t="shared" ref="N13:N14" si="5">L13*100/J13</f>
        <v>#DIV/0!</v>
      </c>
      <c r="O13" s="189"/>
    </row>
    <row r="14" spans="1:16" hidden="1" x14ac:dyDescent="0.2">
      <c r="A14" s="264"/>
      <c r="B14" s="262"/>
      <c r="C14" s="184" t="s">
        <v>256</v>
      </c>
      <c r="D14" s="177"/>
      <c r="E14" s="177"/>
      <c r="F14" s="263">
        <v>2116800</v>
      </c>
      <c r="G14" s="263"/>
      <c r="H14" s="263"/>
      <c r="I14" s="263"/>
      <c r="J14" s="263"/>
      <c r="K14" s="263"/>
      <c r="L14" s="263"/>
      <c r="M14" s="263">
        <f>F14-L14</f>
        <v>2116800</v>
      </c>
      <c r="N14" s="363" t="e">
        <f t="shared" si="5"/>
        <v>#DIV/0!</v>
      </c>
      <c r="O14" s="189"/>
    </row>
    <row r="15" spans="1:16" ht="77.25" customHeight="1" x14ac:dyDescent="0.2">
      <c r="A15" s="185">
        <v>2</v>
      </c>
      <c r="B15" s="704" t="s">
        <v>107</v>
      </c>
      <c r="C15" s="705"/>
      <c r="D15" s="178">
        <f>E15+F15</f>
        <v>983500</v>
      </c>
      <c r="E15" s="178">
        <f>E16</f>
        <v>59900</v>
      </c>
      <c r="F15" s="178">
        <f>F16</f>
        <v>923600</v>
      </c>
      <c r="G15" s="540" t="s">
        <v>389</v>
      </c>
      <c r="H15" s="178"/>
      <c r="I15" s="178"/>
      <c r="J15" s="178">
        <f t="shared" ref="J15:L15" si="6">J16</f>
        <v>0</v>
      </c>
      <c r="K15" s="178">
        <f t="shared" si="6"/>
        <v>0</v>
      </c>
      <c r="L15" s="178">
        <f t="shared" si="6"/>
        <v>0</v>
      </c>
      <c r="M15" s="178">
        <v>0</v>
      </c>
      <c r="N15" s="178">
        <f>L15*100/D15</f>
        <v>0</v>
      </c>
      <c r="O15" s="280" t="s">
        <v>106</v>
      </c>
    </row>
    <row r="16" spans="1:16" s="180" customFormat="1" ht="75" hidden="1" x14ac:dyDescent="0.2">
      <c r="A16" s="264"/>
      <c r="B16" s="721" t="s">
        <v>170</v>
      </c>
      <c r="C16" s="722"/>
      <c r="D16" s="271">
        <f>E16+F16</f>
        <v>983500</v>
      </c>
      <c r="E16" s="271">
        <f>E17</f>
        <v>59900</v>
      </c>
      <c r="F16" s="271">
        <f>F18</f>
        <v>923600</v>
      </c>
      <c r="G16" s="541" t="s">
        <v>389</v>
      </c>
      <c r="H16" s="271"/>
      <c r="I16" s="271"/>
      <c r="J16" s="271">
        <f t="shared" ref="J16:L16" si="7">J18</f>
        <v>0</v>
      </c>
      <c r="K16" s="271">
        <f t="shared" si="7"/>
        <v>0</v>
      </c>
      <c r="L16" s="271">
        <f t="shared" si="7"/>
        <v>0</v>
      </c>
      <c r="M16" s="271">
        <f>D16-L16</f>
        <v>983500</v>
      </c>
      <c r="N16" s="271">
        <f>L16*100/D16</f>
        <v>0</v>
      </c>
      <c r="O16" s="272"/>
    </row>
    <row r="17" spans="1:15" s="180" customFormat="1" hidden="1" x14ac:dyDescent="0.2">
      <c r="A17" s="264"/>
      <c r="B17" s="696" t="s">
        <v>5</v>
      </c>
      <c r="C17" s="697"/>
      <c r="D17" s="177"/>
      <c r="E17" s="177">
        <v>59900</v>
      </c>
      <c r="F17" s="177"/>
      <c r="G17" s="177"/>
      <c r="H17" s="177"/>
      <c r="I17" s="177"/>
      <c r="J17" s="177"/>
      <c r="K17" s="177"/>
      <c r="L17" s="177"/>
      <c r="M17" s="177">
        <f>E17-L17</f>
        <v>59900</v>
      </c>
      <c r="N17" s="177">
        <f>L17*100/E17</f>
        <v>0</v>
      </c>
      <c r="O17" s="189"/>
    </row>
    <row r="18" spans="1:15" s="180" customFormat="1" hidden="1" x14ac:dyDescent="0.2">
      <c r="A18" s="265"/>
      <c r="B18" s="696" t="s">
        <v>4</v>
      </c>
      <c r="C18" s="697"/>
      <c r="D18" s="177"/>
      <c r="E18" s="177"/>
      <c r="F18" s="177">
        <f>F19+F20+F21</f>
        <v>923600</v>
      </c>
      <c r="G18" s="177"/>
      <c r="H18" s="177"/>
      <c r="I18" s="177"/>
      <c r="J18" s="177">
        <f t="shared" ref="J18:M18" si="8">J19+J20+J21</f>
        <v>0</v>
      </c>
      <c r="K18" s="177">
        <f t="shared" si="8"/>
        <v>0</v>
      </c>
      <c r="L18" s="177">
        <f t="shared" si="8"/>
        <v>0</v>
      </c>
      <c r="M18" s="177">
        <f t="shared" si="8"/>
        <v>923600</v>
      </c>
      <c r="N18" s="364" t="e">
        <f>L18*100/J18</f>
        <v>#DIV/0!</v>
      </c>
      <c r="O18" s="189"/>
    </row>
    <row r="19" spans="1:15" s="180" customFormat="1" hidden="1" x14ac:dyDescent="0.2">
      <c r="A19" s="264"/>
      <c r="B19" s="179"/>
      <c r="C19" s="176" t="s">
        <v>257</v>
      </c>
      <c r="D19" s="177"/>
      <c r="E19" s="177"/>
      <c r="F19" s="177">
        <v>105000</v>
      </c>
      <c r="G19" s="177"/>
      <c r="H19" s="177"/>
      <c r="I19" s="177"/>
      <c r="J19" s="177"/>
      <c r="K19" s="177"/>
      <c r="L19" s="177"/>
      <c r="M19" s="177">
        <f>F19-L19</f>
        <v>105000</v>
      </c>
      <c r="N19" s="364" t="e">
        <f>L19*100/J19</f>
        <v>#DIV/0!</v>
      </c>
      <c r="O19" s="189"/>
    </row>
    <row r="20" spans="1:15" s="180" customFormat="1" hidden="1" x14ac:dyDescent="0.2">
      <c r="A20" s="264"/>
      <c r="B20" s="179"/>
      <c r="C20" s="176" t="s">
        <v>258</v>
      </c>
      <c r="D20" s="177"/>
      <c r="E20" s="177"/>
      <c r="F20" s="177">
        <v>145000</v>
      </c>
      <c r="G20" s="177"/>
      <c r="H20" s="177"/>
      <c r="I20" s="177"/>
      <c r="J20" s="177"/>
      <c r="K20" s="177"/>
      <c r="L20" s="177"/>
      <c r="M20" s="177">
        <f t="shared" ref="M20:M21" si="9">F20-L20</f>
        <v>145000</v>
      </c>
      <c r="N20" s="364" t="e">
        <f t="shared" ref="N20:N21" si="10">L20*100/J20</f>
        <v>#DIV/0!</v>
      </c>
      <c r="O20" s="189"/>
    </row>
    <row r="21" spans="1:15" s="180" customFormat="1" hidden="1" x14ac:dyDescent="0.2">
      <c r="A21" s="264"/>
      <c r="B21" s="179"/>
      <c r="C21" s="176" t="s">
        <v>259</v>
      </c>
      <c r="D21" s="177"/>
      <c r="E21" s="177"/>
      <c r="F21" s="177">
        <v>673600</v>
      </c>
      <c r="G21" s="177"/>
      <c r="H21" s="177"/>
      <c r="I21" s="177"/>
      <c r="J21" s="177"/>
      <c r="K21" s="177"/>
      <c r="L21" s="177"/>
      <c r="M21" s="177">
        <f t="shared" si="9"/>
        <v>673600</v>
      </c>
      <c r="N21" s="364" t="e">
        <f t="shared" si="10"/>
        <v>#DIV/0!</v>
      </c>
      <c r="O21" s="189"/>
    </row>
    <row r="22" spans="1:15" ht="43.5" customHeight="1" x14ac:dyDescent="0.2">
      <c r="A22" s="731" t="s">
        <v>108</v>
      </c>
      <c r="B22" s="732"/>
      <c r="C22" s="732"/>
      <c r="D22" s="181">
        <f t="shared" ref="D22:D32" si="11">E22+F22</f>
        <v>21420000</v>
      </c>
      <c r="E22" s="181">
        <f>E23+E25+E27+E29</f>
        <v>13500000</v>
      </c>
      <c r="F22" s="181">
        <f>F23+F25+F27+F29</f>
        <v>7920000</v>
      </c>
      <c r="G22" s="181"/>
      <c r="H22" s="181"/>
      <c r="I22" s="181"/>
      <c r="J22" s="181">
        <f t="shared" ref="J22:M22" si="12">J23+J25+J27+J29</f>
        <v>5836380</v>
      </c>
      <c r="K22" s="181">
        <f t="shared" si="12"/>
        <v>2083620</v>
      </c>
      <c r="L22" s="181">
        <f t="shared" si="12"/>
        <v>0</v>
      </c>
      <c r="M22" s="181">
        <f t="shared" si="12"/>
        <v>19336380</v>
      </c>
      <c r="N22" s="181">
        <f>L22*100/D22</f>
        <v>0</v>
      </c>
      <c r="O22" s="190"/>
    </row>
    <row r="23" spans="1:15" ht="47.25" customHeight="1" x14ac:dyDescent="0.2">
      <c r="A23" s="279">
        <v>3</v>
      </c>
      <c r="B23" s="704" t="s">
        <v>261</v>
      </c>
      <c r="C23" s="705"/>
      <c r="D23" s="182">
        <f t="shared" si="11"/>
        <v>10000000</v>
      </c>
      <c r="E23" s="182">
        <f>E24</f>
        <v>10000000</v>
      </c>
      <c r="F23" s="182">
        <f>F24</f>
        <v>0</v>
      </c>
      <c r="G23" s="540"/>
      <c r="H23" s="182"/>
      <c r="I23" s="182"/>
      <c r="J23" s="182">
        <f t="shared" ref="J23:M23" si="13">J24</f>
        <v>0</v>
      </c>
      <c r="K23" s="182">
        <f t="shared" si="13"/>
        <v>0</v>
      </c>
      <c r="L23" s="182">
        <f t="shared" si="13"/>
        <v>0</v>
      </c>
      <c r="M23" s="182">
        <f t="shared" si="13"/>
        <v>10000000</v>
      </c>
      <c r="N23" s="182">
        <f>L23*100/E23</f>
        <v>0</v>
      </c>
      <c r="O23" s="280" t="s">
        <v>22</v>
      </c>
    </row>
    <row r="24" spans="1:15" x14ac:dyDescent="0.2">
      <c r="A24" s="277"/>
      <c r="B24" s="721" t="s">
        <v>171</v>
      </c>
      <c r="C24" s="722"/>
      <c r="D24" s="271">
        <f t="shared" si="11"/>
        <v>10000000</v>
      </c>
      <c r="E24" s="273">
        <v>10000000</v>
      </c>
      <c r="F24" s="281">
        <v>0</v>
      </c>
      <c r="G24" s="541" t="s">
        <v>492</v>
      </c>
      <c r="H24" s="275"/>
      <c r="I24" s="275"/>
      <c r="J24" s="275"/>
      <c r="K24" s="275"/>
      <c r="L24" s="275"/>
      <c r="M24" s="275">
        <f>E24-L24</f>
        <v>10000000</v>
      </c>
      <c r="N24" s="275">
        <f>L24*100/E24</f>
        <v>0</v>
      </c>
      <c r="O24" s="272"/>
    </row>
    <row r="25" spans="1:15" ht="47.25" x14ac:dyDescent="0.2">
      <c r="A25" s="278">
        <v>4</v>
      </c>
      <c r="B25" s="733" t="s">
        <v>109</v>
      </c>
      <c r="C25" s="734"/>
      <c r="D25" s="183">
        <f t="shared" si="11"/>
        <v>7920000</v>
      </c>
      <c r="E25" s="183">
        <f>E26</f>
        <v>0</v>
      </c>
      <c r="F25" s="183">
        <f>F26</f>
        <v>7920000</v>
      </c>
      <c r="G25" s="540"/>
      <c r="H25" s="183"/>
      <c r="I25" s="183"/>
      <c r="J25" s="183">
        <f t="shared" ref="J25:M25" si="14">J26</f>
        <v>5836380</v>
      </c>
      <c r="K25" s="183">
        <f t="shared" si="14"/>
        <v>2083620</v>
      </c>
      <c r="L25" s="183">
        <f t="shared" si="14"/>
        <v>0</v>
      </c>
      <c r="M25" s="183">
        <f t="shared" si="14"/>
        <v>5836380</v>
      </c>
      <c r="N25" s="365">
        <f>L25*100/J25</f>
        <v>0</v>
      </c>
      <c r="O25" s="280" t="s">
        <v>31</v>
      </c>
    </row>
    <row r="26" spans="1:15" ht="45.75" customHeight="1" x14ac:dyDescent="0.2">
      <c r="A26" s="277"/>
      <c r="B26" s="721" t="s">
        <v>206</v>
      </c>
      <c r="C26" s="722"/>
      <c r="D26" s="276">
        <f t="shared" si="11"/>
        <v>7920000</v>
      </c>
      <c r="E26" s="273">
        <v>0</v>
      </c>
      <c r="F26" s="274">
        <v>7920000</v>
      </c>
      <c r="G26" s="541" t="s">
        <v>374</v>
      </c>
      <c r="H26" s="682" t="s">
        <v>476</v>
      </c>
      <c r="I26" s="275"/>
      <c r="J26" s="275">
        <v>5836380</v>
      </c>
      <c r="K26" s="275">
        <f>F26-J26</f>
        <v>2083620</v>
      </c>
      <c r="L26" s="275"/>
      <c r="M26" s="275">
        <f>J26-L26</f>
        <v>5836380</v>
      </c>
      <c r="N26" s="366">
        <f>L26*100/J26</f>
        <v>0</v>
      </c>
      <c r="O26" s="272"/>
    </row>
    <row r="27" spans="1:15" ht="45.75" customHeight="1" x14ac:dyDescent="0.2">
      <c r="A27" s="172">
        <v>5</v>
      </c>
      <c r="B27" s="726" t="s">
        <v>110</v>
      </c>
      <c r="C27" s="727"/>
      <c r="D27" s="182">
        <f t="shared" si="11"/>
        <v>2000000</v>
      </c>
      <c r="E27" s="182">
        <f>E28</f>
        <v>2000000</v>
      </c>
      <c r="F27" s="182">
        <f>F28</f>
        <v>0</v>
      </c>
      <c r="G27" s="591"/>
      <c r="H27" s="182"/>
      <c r="I27" s="182"/>
      <c r="J27" s="182">
        <f t="shared" ref="J27:M27" si="15">J28</f>
        <v>0</v>
      </c>
      <c r="K27" s="182">
        <f t="shared" si="15"/>
        <v>0</v>
      </c>
      <c r="L27" s="182">
        <f t="shared" si="15"/>
        <v>0</v>
      </c>
      <c r="M27" s="182">
        <f t="shared" si="15"/>
        <v>2000000</v>
      </c>
      <c r="N27" s="182">
        <f>L27*100/E27</f>
        <v>0</v>
      </c>
      <c r="O27" s="280" t="s">
        <v>22</v>
      </c>
    </row>
    <row r="28" spans="1:15" x14ac:dyDescent="0.2">
      <c r="A28" s="282"/>
      <c r="B28" s="721" t="s">
        <v>172</v>
      </c>
      <c r="C28" s="722"/>
      <c r="D28" s="271">
        <f t="shared" si="11"/>
        <v>2000000</v>
      </c>
      <c r="E28" s="273">
        <v>2000000</v>
      </c>
      <c r="F28" s="274">
        <v>0</v>
      </c>
      <c r="G28" s="650" t="s">
        <v>361</v>
      </c>
      <c r="H28" s="275"/>
      <c r="I28" s="275"/>
      <c r="J28" s="275"/>
      <c r="K28" s="275"/>
      <c r="L28" s="275"/>
      <c r="M28" s="275">
        <f>E28-L28</f>
        <v>2000000</v>
      </c>
      <c r="N28" s="275">
        <f>L28*100/E28</f>
        <v>0</v>
      </c>
      <c r="O28" s="272"/>
    </row>
    <row r="29" spans="1:15" ht="47.25" x14ac:dyDescent="0.2">
      <c r="A29" s="185">
        <v>6</v>
      </c>
      <c r="B29" s="725" t="s">
        <v>207</v>
      </c>
      <c r="C29" s="705"/>
      <c r="D29" s="178">
        <f t="shared" si="11"/>
        <v>1500000</v>
      </c>
      <c r="E29" s="178">
        <f>E30</f>
        <v>1500000</v>
      </c>
      <c r="F29" s="178">
        <f>F30</f>
        <v>0</v>
      </c>
      <c r="G29" s="540"/>
      <c r="H29" s="178"/>
      <c r="I29" s="178"/>
      <c r="J29" s="178">
        <f t="shared" ref="J29:M29" si="16">J30</f>
        <v>0</v>
      </c>
      <c r="K29" s="178">
        <f t="shared" si="16"/>
        <v>0</v>
      </c>
      <c r="L29" s="178">
        <f t="shared" si="16"/>
        <v>0</v>
      </c>
      <c r="M29" s="178">
        <f t="shared" si="16"/>
        <v>1500000</v>
      </c>
      <c r="N29" s="178">
        <f>L29*100/E29</f>
        <v>0</v>
      </c>
      <c r="O29" s="280" t="s">
        <v>113</v>
      </c>
    </row>
    <row r="30" spans="1:15" ht="32.25" customHeight="1" x14ac:dyDescent="0.2">
      <c r="A30" s="282"/>
      <c r="B30" s="721" t="s">
        <v>173</v>
      </c>
      <c r="C30" s="722"/>
      <c r="D30" s="271">
        <f t="shared" si="11"/>
        <v>1500000</v>
      </c>
      <c r="E30" s="273">
        <v>1500000</v>
      </c>
      <c r="F30" s="281">
        <v>0</v>
      </c>
      <c r="G30" s="541" t="s">
        <v>361</v>
      </c>
      <c r="H30" s="275"/>
      <c r="I30" s="275"/>
      <c r="J30" s="275"/>
      <c r="K30" s="275"/>
      <c r="L30" s="275"/>
      <c r="M30" s="275">
        <f>E30-L30</f>
        <v>1500000</v>
      </c>
      <c r="N30" s="275">
        <f>L30*100/E30</f>
        <v>0</v>
      </c>
      <c r="O30" s="272"/>
    </row>
    <row r="31" spans="1:15" ht="27" customHeight="1" x14ac:dyDescent="0.2">
      <c r="A31" s="728" t="s">
        <v>111</v>
      </c>
      <c r="B31" s="729"/>
      <c r="C31" s="730"/>
      <c r="D31" s="186">
        <f t="shared" si="11"/>
        <v>2970000</v>
      </c>
      <c r="E31" s="186">
        <v>0</v>
      </c>
      <c r="F31" s="186">
        <f>F32</f>
        <v>2970000</v>
      </c>
      <c r="G31" s="186"/>
      <c r="H31" s="186"/>
      <c r="I31" s="186"/>
      <c r="J31" s="186">
        <f t="shared" ref="J31:M32" si="17">J32</f>
        <v>0</v>
      </c>
      <c r="K31" s="186">
        <f t="shared" si="17"/>
        <v>0</v>
      </c>
      <c r="L31" s="186">
        <f t="shared" si="17"/>
        <v>0</v>
      </c>
      <c r="M31" s="186">
        <f t="shared" si="17"/>
        <v>0</v>
      </c>
      <c r="N31" s="186">
        <v>0</v>
      </c>
      <c r="O31" s="190"/>
    </row>
    <row r="32" spans="1:15" ht="75" x14ac:dyDescent="0.2">
      <c r="A32" s="185">
        <v>7</v>
      </c>
      <c r="B32" s="725" t="s">
        <v>112</v>
      </c>
      <c r="C32" s="705"/>
      <c r="D32" s="178">
        <f t="shared" si="11"/>
        <v>2970000</v>
      </c>
      <c r="E32" s="178">
        <v>0</v>
      </c>
      <c r="F32" s="178">
        <f>F33</f>
        <v>2970000</v>
      </c>
      <c r="G32" s="540" t="s">
        <v>389</v>
      </c>
      <c r="H32" s="178"/>
      <c r="I32" s="178"/>
      <c r="J32" s="178">
        <f t="shared" si="17"/>
        <v>0</v>
      </c>
      <c r="K32" s="178">
        <f t="shared" si="17"/>
        <v>0</v>
      </c>
      <c r="L32" s="178">
        <f t="shared" si="17"/>
        <v>0</v>
      </c>
      <c r="M32" s="178">
        <v>0</v>
      </c>
      <c r="N32" s="178">
        <v>0</v>
      </c>
      <c r="O32" s="280" t="s">
        <v>88</v>
      </c>
    </row>
    <row r="33" spans="1:16" ht="88.5" hidden="1" customHeight="1" x14ac:dyDescent="0.2">
      <c r="A33" s="283"/>
      <c r="B33" s="721" t="s">
        <v>263</v>
      </c>
      <c r="C33" s="722"/>
      <c r="D33" s="271">
        <f>F33</f>
        <v>2970000</v>
      </c>
      <c r="E33" s="271">
        <v>0</v>
      </c>
      <c r="F33" s="275">
        <v>2970000</v>
      </c>
      <c r="G33" s="539"/>
      <c r="H33" s="275"/>
      <c r="I33" s="275"/>
      <c r="J33" s="275"/>
      <c r="K33" s="275"/>
      <c r="L33" s="275"/>
      <c r="M33" s="275">
        <f>F33-L33</f>
        <v>2970000</v>
      </c>
      <c r="N33" s="366" t="e">
        <f>L33*100/J33</f>
        <v>#DIV/0!</v>
      </c>
      <c r="O33" s="272"/>
    </row>
    <row r="34" spans="1:16" x14ac:dyDescent="0.2">
      <c r="A34" s="723" t="s">
        <v>83</v>
      </c>
      <c r="B34" s="723"/>
      <c r="C34" s="723"/>
      <c r="D34" s="285">
        <f>D8+D22+D31</f>
        <v>31447700</v>
      </c>
      <c r="E34" s="285">
        <f t="shared" ref="E34:M34" si="18">E8+E22+E31</f>
        <v>13724700</v>
      </c>
      <c r="F34" s="285">
        <f t="shared" si="18"/>
        <v>17723000</v>
      </c>
      <c r="G34" s="285"/>
      <c r="H34" s="285"/>
      <c r="I34" s="285"/>
      <c r="J34" s="285">
        <f t="shared" si="18"/>
        <v>5836380</v>
      </c>
      <c r="K34" s="285">
        <f t="shared" si="18"/>
        <v>2083620</v>
      </c>
      <c r="L34" s="285">
        <f t="shared" si="18"/>
        <v>0</v>
      </c>
      <c r="M34" s="285">
        <f t="shared" si="18"/>
        <v>19336380</v>
      </c>
      <c r="N34" s="290">
        <f>L34*100/D34</f>
        <v>0</v>
      </c>
      <c r="O34" s="284"/>
    </row>
    <row r="35" spans="1:16" x14ac:dyDescent="0.2">
      <c r="A35" s="187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</row>
    <row r="36" spans="1:16" s="187" customFormat="1" x14ac:dyDescent="0.2">
      <c r="P36" s="175"/>
    </row>
    <row r="37" spans="1:16" s="187" customFormat="1" x14ac:dyDescent="0.2"/>
    <row r="38" spans="1:16" s="187" customFormat="1" x14ac:dyDescent="0.2"/>
  </sheetData>
  <mergeCells count="33">
    <mergeCell ref="B33:C33"/>
    <mergeCell ref="A34:C34"/>
    <mergeCell ref="B28:C28"/>
    <mergeCell ref="B26:C26"/>
    <mergeCell ref="B10:C10"/>
    <mergeCell ref="B30:C30"/>
    <mergeCell ref="B24:C24"/>
    <mergeCell ref="B16:C16"/>
    <mergeCell ref="B32:C32"/>
    <mergeCell ref="B27:C27"/>
    <mergeCell ref="B29:C29"/>
    <mergeCell ref="A31:C31"/>
    <mergeCell ref="A22:C22"/>
    <mergeCell ref="B23:C23"/>
    <mergeCell ref="B25:C25"/>
    <mergeCell ref="B17:C17"/>
    <mergeCell ref="A1:O1"/>
    <mergeCell ref="A5:A6"/>
    <mergeCell ref="B5:C6"/>
    <mergeCell ref="O5:O6"/>
    <mergeCell ref="E4:O4"/>
    <mergeCell ref="G5:K5"/>
    <mergeCell ref="L5:N5"/>
    <mergeCell ref="D5:F5"/>
    <mergeCell ref="A2:O2"/>
    <mergeCell ref="A3:O3"/>
    <mergeCell ref="B18:C18"/>
    <mergeCell ref="A7:C7"/>
    <mergeCell ref="A8:C8"/>
    <mergeCell ref="B9:C9"/>
    <mergeCell ref="B15:C15"/>
    <mergeCell ref="B12:C12"/>
    <mergeCell ref="B11:C11"/>
  </mergeCells>
  <pageMargins left="0.19685039370078741" right="0.11811023622047245" top="0.19685039370078741" bottom="0.19685039370078741" header="0.11811023622047245" footer="0.11811023622047245"/>
  <pageSetup paperSize="9" scale="75" orientation="landscape" r:id="rId1"/>
  <headerFooter>
    <oddHeader>&amp;R&amp;"TH SarabunPSK,ธรรมดา"&amp;A</oddHeader>
    <oddFooter>&amp;C&amp;"TH SarabunPSK,ธรรมดา"&amp;12หน้าที่ &amp;P&amp;R&amp;"TH SarabunPSK,ธรรมดา"&amp;12&amp;Z&amp;F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3"/>
  <sheetViews>
    <sheetView topLeftCell="A13" zoomScale="80" zoomScaleNormal="80" zoomScaleSheetLayoutView="90" workbookViewId="0">
      <selection activeCell="B19" sqref="B19"/>
    </sheetView>
  </sheetViews>
  <sheetFormatPr defaultColWidth="12.625" defaultRowHeight="21" x14ac:dyDescent="0.2"/>
  <cols>
    <col min="1" max="1" width="2.625" style="151" bestFit="1" customWidth="1"/>
    <col min="2" max="2" width="35.5" style="133" customWidth="1"/>
    <col min="3" max="3" width="12.25" style="133" bestFit="1" customWidth="1"/>
    <col min="4" max="4" width="12.25" style="152" bestFit="1" customWidth="1"/>
    <col min="5" max="5" width="12.375" style="152" customWidth="1"/>
    <col min="6" max="6" width="11.125" style="152" customWidth="1"/>
    <col min="7" max="7" width="11.5" style="152" customWidth="1"/>
    <col min="8" max="8" width="13.5" style="152" customWidth="1"/>
    <col min="9" max="9" width="14.375" style="152" customWidth="1"/>
    <col min="10" max="11" width="13.625" style="152" customWidth="1"/>
    <col min="12" max="12" width="6.875" style="152" customWidth="1"/>
    <col min="13" max="13" width="9.625" style="153" customWidth="1"/>
    <col min="14" max="16384" width="12.625" style="133"/>
  </cols>
  <sheetData>
    <row r="1" spans="1:15" ht="21" customHeight="1" x14ac:dyDescent="0.2">
      <c r="A1" s="739" t="s">
        <v>176</v>
      </c>
      <c r="B1" s="739"/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</row>
    <row r="2" spans="1:15" ht="21" customHeight="1" x14ac:dyDescent="0.2">
      <c r="A2" s="739" t="s">
        <v>175</v>
      </c>
      <c r="B2" s="739"/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</row>
    <row r="3" spans="1:15" ht="21" customHeight="1" x14ac:dyDescent="0.2">
      <c r="A3" s="739" t="s">
        <v>281</v>
      </c>
      <c r="B3" s="739"/>
      <c r="C3" s="739"/>
      <c r="D3" s="739"/>
      <c r="E3" s="739"/>
      <c r="F3" s="739"/>
      <c r="G3" s="739"/>
      <c r="H3" s="739"/>
      <c r="I3" s="739"/>
      <c r="J3" s="739"/>
      <c r="K3" s="739"/>
      <c r="L3" s="739"/>
      <c r="M3" s="739"/>
    </row>
    <row r="4" spans="1:15" x14ac:dyDescent="0.2">
      <c r="A4" s="134"/>
      <c r="B4" s="134"/>
      <c r="C4" s="134"/>
      <c r="D4" s="745" t="s">
        <v>502</v>
      </c>
      <c r="E4" s="745"/>
      <c r="F4" s="745"/>
      <c r="G4" s="745"/>
      <c r="H4" s="745"/>
      <c r="I4" s="745"/>
      <c r="J4" s="745"/>
      <c r="K4" s="745"/>
      <c r="L4" s="745"/>
      <c r="M4" s="745"/>
    </row>
    <row r="5" spans="1:15" s="135" customFormat="1" ht="38.25" customHeight="1" x14ac:dyDescent="0.2">
      <c r="A5" s="746" t="s">
        <v>89</v>
      </c>
      <c r="B5" s="746" t="s">
        <v>90</v>
      </c>
      <c r="C5" s="748" t="s">
        <v>1</v>
      </c>
      <c r="D5" s="749"/>
      <c r="E5" s="750" t="s">
        <v>190</v>
      </c>
      <c r="F5" s="751"/>
      <c r="G5" s="751"/>
      <c r="H5" s="751"/>
      <c r="I5" s="751"/>
      <c r="J5" s="752" t="s">
        <v>191</v>
      </c>
      <c r="K5" s="752"/>
      <c r="L5" s="752"/>
      <c r="M5" s="746" t="s">
        <v>91</v>
      </c>
    </row>
    <row r="6" spans="1:15" s="135" customFormat="1" ht="66" customHeight="1" x14ac:dyDescent="0.2">
      <c r="A6" s="747"/>
      <c r="B6" s="747"/>
      <c r="C6" s="136" t="s">
        <v>3</v>
      </c>
      <c r="D6" s="136" t="s">
        <v>4</v>
      </c>
      <c r="E6" s="7" t="s">
        <v>186</v>
      </c>
      <c r="F6" s="7" t="s">
        <v>187</v>
      </c>
      <c r="G6" s="7" t="s">
        <v>262</v>
      </c>
      <c r="H6" s="7" t="s">
        <v>188</v>
      </c>
      <c r="I6" s="7" t="s">
        <v>189</v>
      </c>
      <c r="J6" s="7" t="s">
        <v>192</v>
      </c>
      <c r="K6" s="7" t="s">
        <v>193</v>
      </c>
      <c r="L6" s="7" t="s">
        <v>194</v>
      </c>
      <c r="M6" s="747"/>
    </row>
    <row r="7" spans="1:15" ht="20.25" customHeight="1" x14ac:dyDescent="0.2">
      <c r="A7" s="735" t="s">
        <v>92</v>
      </c>
      <c r="B7" s="735"/>
      <c r="C7" s="286">
        <f>D7</f>
        <v>49000000</v>
      </c>
      <c r="D7" s="286">
        <f t="shared" ref="C7:K9" si="0">D8</f>
        <v>49000000</v>
      </c>
      <c r="E7" s="286"/>
      <c r="F7" s="286"/>
      <c r="G7" s="286"/>
      <c r="H7" s="644">
        <v>0</v>
      </c>
      <c r="I7" s="644">
        <f t="shared" si="0"/>
        <v>0</v>
      </c>
      <c r="J7" s="644">
        <v>0</v>
      </c>
      <c r="K7" s="644">
        <f t="shared" si="0"/>
        <v>49000000</v>
      </c>
      <c r="L7" s="289">
        <v>0</v>
      </c>
      <c r="M7" s="138"/>
    </row>
    <row r="8" spans="1:15" ht="20.25" customHeight="1" x14ac:dyDescent="0.2">
      <c r="A8" s="736" t="s">
        <v>93</v>
      </c>
      <c r="B8" s="736"/>
      <c r="C8" s="139">
        <f t="shared" si="0"/>
        <v>49000000</v>
      </c>
      <c r="D8" s="139">
        <f t="shared" si="0"/>
        <v>49000000</v>
      </c>
      <c r="E8" s="139"/>
      <c r="F8" s="139"/>
      <c r="G8" s="139"/>
      <c r="H8" s="645">
        <f t="shared" si="0"/>
        <v>0</v>
      </c>
      <c r="I8" s="645">
        <f t="shared" si="0"/>
        <v>0</v>
      </c>
      <c r="J8" s="645">
        <f t="shared" si="0"/>
        <v>0</v>
      </c>
      <c r="K8" s="645">
        <f t="shared" si="0"/>
        <v>49000000</v>
      </c>
      <c r="L8" s="139">
        <v>0</v>
      </c>
      <c r="M8" s="140"/>
    </row>
    <row r="9" spans="1:15" ht="24" customHeight="1" x14ac:dyDescent="0.2">
      <c r="A9" s="740" t="s">
        <v>94</v>
      </c>
      <c r="B9" s="740"/>
      <c r="C9" s="141">
        <f t="shared" si="0"/>
        <v>49000000</v>
      </c>
      <c r="D9" s="141">
        <f t="shared" si="0"/>
        <v>49000000</v>
      </c>
      <c r="E9" s="141"/>
      <c r="F9" s="141"/>
      <c r="G9" s="141"/>
      <c r="H9" s="646">
        <f t="shared" si="0"/>
        <v>0</v>
      </c>
      <c r="I9" s="646">
        <f t="shared" si="0"/>
        <v>0</v>
      </c>
      <c r="J9" s="646">
        <f t="shared" si="0"/>
        <v>0</v>
      </c>
      <c r="K9" s="646">
        <f t="shared" si="0"/>
        <v>49000000</v>
      </c>
      <c r="L9" s="141">
        <v>0</v>
      </c>
      <c r="M9" s="142"/>
    </row>
    <row r="10" spans="1:15" s="146" customFormat="1" ht="47.25" x14ac:dyDescent="0.2">
      <c r="A10" s="143">
        <v>1</v>
      </c>
      <c r="B10" s="144" t="s">
        <v>95</v>
      </c>
      <c r="C10" s="287">
        <f>D10</f>
        <v>49000000</v>
      </c>
      <c r="D10" s="287">
        <v>49000000</v>
      </c>
      <c r="E10" s="665" t="s">
        <v>495</v>
      </c>
      <c r="F10" s="287"/>
      <c r="G10" s="287"/>
      <c r="H10" s="647"/>
      <c r="I10" s="647"/>
      <c r="J10" s="647"/>
      <c r="K10" s="647">
        <f>D10-J10</f>
        <v>49000000</v>
      </c>
      <c r="L10" s="145">
        <v>0</v>
      </c>
      <c r="M10" s="158" t="s">
        <v>29</v>
      </c>
    </row>
    <row r="11" spans="1:15" hidden="1" x14ac:dyDescent="0.2">
      <c r="A11" s="741" t="s">
        <v>92</v>
      </c>
      <c r="B11" s="741"/>
      <c r="C11" s="288"/>
      <c r="D11" s="288"/>
      <c r="E11" s="288"/>
      <c r="F11" s="288"/>
      <c r="G11" s="288"/>
      <c r="H11" s="648"/>
      <c r="I11" s="648"/>
      <c r="J11" s="648"/>
      <c r="K11" s="648"/>
      <c r="L11" s="147"/>
      <c r="M11" s="154"/>
    </row>
    <row r="12" spans="1:15" hidden="1" x14ac:dyDescent="0.2">
      <c r="A12" s="742" t="s">
        <v>93</v>
      </c>
      <c r="B12" s="742"/>
      <c r="C12" s="148"/>
      <c r="D12" s="148"/>
      <c r="E12" s="148"/>
      <c r="F12" s="148"/>
      <c r="G12" s="148"/>
      <c r="H12" s="649"/>
      <c r="I12" s="649"/>
      <c r="J12" s="649"/>
      <c r="K12" s="649"/>
      <c r="L12" s="148"/>
      <c r="M12" s="155"/>
    </row>
    <row r="13" spans="1:15" ht="21.75" customHeight="1" x14ac:dyDescent="0.2">
      <c r="A13" s="735" t="s">
        <v>96</v>
      </c>
      <c r="B13" s="735"/>
      <c r="C13" s="286">
        <f>C14</f>
        <v>37967000</v>
      </c>
      <c r="D13" s="286">
        <f>D14</f>
        <v>37967000</v>
      </c>
      <c r="E13" s="286"/>
      <c r="F13" s="286"/>
      <c r="G13" s="286"/>
      <c r="H13" s="644">
        <f t="shared" ref="H13:K14" si="1">H14</f>
        <v>26141787.800000001</v>
      </c>
      <c r="I13" s="644">
        <f t="shared" si="1"/>
        <v>7865212.2000000002</v>
      </c>
      <c r="J13" s="644">
        <f t="shared" si="1"/>
        <v>0</v>
      </c>
      <c r="K13" s="644">
        <f t="shared" si="1"/>
        <v>26141787.800000001</v>
      </c>
      <c r="L13" s="137">
        <v>0</v>
      </c>
      <c r="M13" s="156"/>
    </row>
    <row r="14" spans="1:15" ht="45" customHeight="1" x14ac:dyDescent="0.2">
      <c r="A14" s="736" t="s">
        <v>97</v>
      </c>
      <c r="B14" s="736"/>
      <c r="C14" s="139">
        <f>C15</f>
        <v>37967000</v>
      </c>
      <c r="D14" s="139">
        <f>D15</f>
        <v>37967000</v>
      </c>
      <c r="E14" s="139"/>
      <c r="F14" s="139"/>
      <c r="G14" s="139"/>
      <c r="H14" s="645">
        <f t="shared" si="1"/>
        <v>26141787.800000001</v>
      </c>
      <c r="I14" s="645">
        <f t="shared" si="1"/>
        <v>7865212.2000000002</v>
      </c>
      <c r="J14" s="645">
        <f t="shared" si="1"/>
        <v>0</v>
      </c>
      <c r="K14" s="645">
        <f t="shared" si="1"/>
        <v>26141787.800000001</v>
      </c>
      <c r="L14" s="139">
        <v>0</v>
      </c>
      <c r="M14" s="157"/>
    </row>
    <row r="15" spans="1:15" s="149" customFormat="1" ht="47.25" x14ac:dyDescent="0.2">
      <c r="A15" s="143">
        <v>1</v>
      </c>
      <c r="B15" s="144" t="s">
        <v>98</v>
      </c>
      <c r="C15" s="275">
        <f>D15</f>
        <v>37967000</v>
      </c>
      <c r="D15" s="275">
        <f>D16+D17+D18+D19+D20</f>
        <v>37967000</v>
      </c>
      <c r="E15" s="275"/>
      <c r="F15" s="275"/>
      <c r="G15" s="275"/>
      <c r="H15" s="647">
        <f>H16+H17+H18+H19+H20</f>
        <v>26141787.800000001</v>
      </c>
      <c r="I15" s="647">
        <f t="shared" ref="I15:K15" si="2">I16+I17+I18+I19+I20</f>
        <v>7865212.2000000002</v>
      </c>
      <c r="J15" s="647">
        <f t="shared" si="2"/>
        <v>0</v>
      </c>
      <c r="K15" s="647">
        <f t="shared" si="2"/>
        <v>26141787.800000001</v>
      </c>
      <c r="L15" s="275">
        <v>0</v>
      </c>
      <c r="M15" s="158" t="s">
        <v>99</v>
      </c>
      <c r="N15" s="133"/>
      <c r="O15" s="133"/>
    </row>
    <row r="16" spans="1:15" s="149" customFormat="1" x14ac:dyDescent="0.2">
      <c r="A16" s="661"/>
      <c r="B16" s="662" t="s">
        <v>100</v>
      </c>
      <c r="C16" s="263">
        <f>D16</f>
        <v>6039000</v>
      </c>
      <c r="D16" s="263">
        <v>6039000</v>
      </c>
      <c r="E16" s="658" t="s">
        <v>484</v>
      </c>
      <c r="F16" s="263"/>
      <c r="G16" s="263"/>
      <c r="H16" s="663">
        <v>5747947.7999999998</v>
      </c>
      <c r="I16" s="663">
        <f>D16-H16</f>
        <v>291052.20000000019</v>
      </c>
      <c r="J16" s="663"/>
      <c r="K16" s="663">
        <f>H16-J16</f>
        <v>5747947.7999999998</v>
      </c>
      <c r="L16" s="263">
        <v>0</v>
      </c>
      <c r="M16" s="664"/>
      <c r="N16" s="133"/>
      <c r="O16" s="133"/>
    </row>
    <row r="17" spans="1:15" s="149" customFormat="1" ht="39" customHeight="1" x14ac:dyDescent="0.2">
      <c r="A17" s="661"/>
      <c r="B17" s="662" t="s">
        <v>101</v>
      </c>
      <c r="C17" s="263">
        <f t="shared" ref="C17:C20" si="3">D17</f>
        <v>1942200</v>
      </c>
      <c r="D17" s="263">
        <f>1992000-49800</f>
        <v>1942200</v>
      </c>
      <c r="E17" s="658" t="s">
        <v>374</v>
      </c>
      <c r="F17" s="658" t="s">
        <v>461</v>
      </c>
      <c r="G17" s="658" t="s">
        <v>462</v>
      </c>
      <c r="H17" s="659">
        <v>1942200</v>
      </c>
      <c r="I17" s="663">
        <f>D17-H17</f>
        <v>0</v>
      </c>
      <c r="J17" s="663"/>
      <c r="K17" s="663">
        <f t="shared" ref="K17:K20" si="4">H17-J17</f>
        <v>1942200</v>
      </c>
      <c r="L17" s="263">
        <v>0</v>
      </c>
      <c r="M17" s="664"/>
      <c r="N17" s="133"/>
      <c r="O17" s="133"/>
    </row>
    <row r="18" spans="1:15" s="149" customFormat="1" ht="36.75" customHeight="1" x14ac:dyDescent="0.2">
      <c r="A18" s="661"/>
      <c r="B18" s="662" t="s">
        <v>102</v>
      </c>
      <c r="C18" s="263">
        <f t="shared" si="3"/>
        <v>1653800</v>
      </c>
      <c r="D18" s="263">
        <f>3320000-1666200</f>
        <v>1653800</v>
      </c>
      <c r="E18" s="658" t="s">
        <v>374</v>
      </c>
      <c r="F18" s="658" t="s">
        <v>463</v>
      </c>
      <c r="G18" s="660" t="s">
        <v>464</v>
      </c>
      <c r="H18" s="659">
        <v>1651700</v>
      </c>
      <c r="I18" s="663">
        <f>D18-H18</f>
        <v>2100</v>
      </c>
      <c r="J18" s="663"/>
      <c r="K18" s="663">
        <f t="shared" si="4"/>
        <v>1651700</v>
      </c>
      <c r="L18" s="263">
        <v>0</v>
      </c>
      <c r="M18" s="664"/>
      <c r="N18" s="133"/>
      <c r="O18" s="133"/>
    </row>
    <row r="19" spans="1:15" s="149" customFormat="1" ht="46.5" customHeight="1" x14ac:dyDescent="0.2">
      <c r="A19" s="661"/>
      <c r="B19" s="662" t="s">
        <v>264</v>
      </c>
      <c r="C19" s="263">
        <f t="shared" si="3"/>
        <v>24372000</v>
      </c>
      <c r="D19" s="263">
        <v>24372000</v>
      </c>
      <c r="E19" s="658" t="s">
        <v>484</v>
      </c>
      <c r="F19" s="658" t="s">
        <v>504</v>
      </c>
      <c r="G19" s="659"/>
      <c r="H19" s="659">
        <v>16799940</v>
      </c>
      <c r="I19" s="663">
        <f>D19-H19</f>
        <v>7572060</v>
      </c>
      <c r="J19" s="663"/>
      <c r="K19" s="663">
        <f t="shared" si="4"/>
        <v>16799940</v>
      </c>
      <c r="L19" s="263">
        <v>0</v>
      </c>
      <c r="M19" s="664"/>
      <c r="N19" s="133"/>
      <c r="O19" s="133"/>
    </row>
    <row r="20" spans="1:15" s="149" customFormat="1" ht="78.75" x14ac:dyDescent="0.2">
      <c r="A20" s="661"/>
      <c r="B20" s="662" t="s">
        <v>294</v>
      </c>
      <c r="C20" s="263">
        <f t="shared" si="3"/>
        <v>3960000</v>
      </c>
      <c r="D20" s="263">
        <v>3960000</v>
      </c>
      <c r="E20" s="658" t="s">
        <v>278</v>
      </c>
      <c r="F20" s="659"/>
      <c r="G20" s="659"/>
      <c r="H20" s="659"/>
      <c r="I20" s="663"/>
      <c r="J20" s="663"/>
      <c r="K20" s="663">
        <f t="shared" si="4"/>
        <v>0</v>
      </c>
      <c r="L20" s="263">
        <v>0</v>
      </c>
      <c r="M20" s="688" t="s">
        <v>425</v>
      </c>
      <c r="N20" s="133"/>
      <c r="O20" s="133"/>
    </row>
    <row r="21" spans="1:15" s="149" customFormat="1" x14ac:dyDescent="0.2">
      <c r="A21" s="687"/>
      <c r="B21" s="743" t="s">
        <v>490</v>
      </c>
      <c r="C21" s="743"/>
      <c r="D21" s="743"/>
      <c r="E21" s="743"/>
      <c r="F21" s="743"/>
      <c r="G21" s="743"/>
      <c r="H21" s="743"/>
      <c r="I21" s="743"/>
      <c r="J21" s="743"/>
      <c r="K21" s="743"/>
      <c r="L21" s="743"/>
      <c r="M21" s="744"/>
      <c r="N21" s="133"/>
      <c r="O21" s="133"/>
    </row>
    <row r="22" spans="1:15" s="149" customFormat="1" ht="47.25" x14ac:dyDescent="0.2">
      <c r="A22" s="661"/>
      <c r="B22" s="686" t="s">
        <v>491</v>
      </c>
      <c r="C22" s="690">
        <f>D22</f>
        <v>1716000</v>
      </c>
      <c r="D22" s="689">
        <v>1716000</v>
      </c>
      <c r="E22" s="686"/>
      <c r="F22" s="686"/>
      <c r="G22" s="686"/>
      <c r="H22" s="686"/>
      <c r="I22" s="686"/>
      <c r="J22" s="686"/>
      <c r="K22" s="686"/>
      <c r="L22" s="686"/>
      <c r="M22" s="158" t="s">
        <v>99</v>
      </c>
      <c r="N22" s="133"/>
      <c r="O22" s="133"/>
    </row>
    <row r="23" spans="1:15" ht="23.25" customHeight="1" x14ac:dyDescent="0.2">
      <c r="A23" s="737" t="s">
        <v>103</v>
      </c>
      <c r="B23" s="738"/>
      <c r="C23" s="286">
        <f>C7+C13+C22</f>
        <v>88683000</v>
      </c>
      <c r="D23" s="286">
        <f>D7+D13+D22</f>
        <v>88683000</v>
      </c>
      <c r="E23" s="286">
        <f>E7+E13</f>
        <v>0</v>
      </c>
      <c r="F23" s="286"/>
      <c r="G23" s="286"/>
      <c r="H23" s="644">
        <f>H7+H13+H22</f>
        <v>26141787.800000001</v>
      </c>
      <c r="I23" s="644">
        <f>I7+I13+I22</f>
        <v>7865212.2000000002</v>
      </c>
      <c r="J23" s="644">
        <f>J7+J13+J22</f>
        <v>0</v>
      </c>
      <c r="K23" s="644">
        <f>K7+K13+K22</f>
        <v>75141787.799999997</v>
      </c>
      <c r="L23" s="159">
        <v>0</v>
      </c>
      <c r="M23" s="150"/>
    </row>
  </sheetData>
  <mergeCells count="19">
    <mergeCell ref="A1:M1"/>
    <mergeCell ref="D4:M4"/>
    <mergeCell ref="A5:A6"/>
    <mergeCell ref="B5:B6"/>
    <mergeCell ref="C5:D5"/>
    <mergeCell ref="E5:I5"/>
    <mergeCell ref="J5:L5"/>
    <mergeCell ref="M5:M6"/>
    <mergeCell ref="A13:B13"/>
    <mergeCell ref="A14:B14"/>
    <mergeCell ref="A23:B23"/>
    <mergeCell ref="A2:M2"/>
    <mergeCell ref="A7:B7"/>
    <mergeCell ref="A8:B8"/>
    <mergeCell ref="A9:B9"/>
    <mergeCell ref="A11:B11"/>
    <mergeCell ref="A12:B12"/>
    <mergeCell ref="A3:M3"/>
    <mergeCell ref="B21:M21"/>
  </mergeCells>
  <pageMargins left="0.19685039370078741" right="0.11811023622047245" top="0.19685039370078741" bottom="0.19685039370078741" header="0.11811023622047245" footer="0.11811023622047245"/>
  <pageSetup paperSize="9" scale="80" fitToWidth="0" fitToHeight="0" orientation="landscape" r:id="rId1"/>
  <headerFooter>
    <oddHeader>&amp;R&amp;"TH SarabunPSK,ธรรมดา"&amp;A</oddHeader>
    <oddFooter>&amp;C&amp;"TH SarabunPSK,ธรรมดา"&amp;Z&amp;F&amp;R&amp;"TH SarabunPSK,ธรรมดา"หน้าที่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93"/>
  <sheetViews>
    <sheetView tabSelected="1" view="pageBreakPreview" zoomScale="80" zoomScaleNormal="80" zoomScaleSheetLayoutView="80" zoomScalePageLayoutView="90" workbookViewId="0">
      <pane xSplit="9" ySplit="7" topLeftCell="J171" activePane="bottomRight" state="frozen"/>
      <selection pane="topRight" activeCell="J1" sqref="J1"/>
      <selection pane="bottomLeft" activeCell="A8" sqref="A8"/>
      <selection pane="bottomRight" activeCell="O171" sqref="O171"/>
    </sheetView>
  </sheetViews>
  <sheetFormatPr defaultRowHeight="21" x14ac:dyDescent="0.2"/>
  <cols>
    <col min="1" max="1" width="1.25" style="2" customWidth="1"/>
    <col min="2" max="2" width="1.125" style="2" customWidth="1"/>
    <col min="3" max="3" width="1.625" style="2" customWidth="1"/>
    <col min="4" max="4" width="40.5" style="2" customWidth="1"/>
    <col min="5" max="5" width="12.25" style="2" customWidth="1"/>
    <col min="6" max="6" width="12.125" style="111" bestFit="1" customWidth="1"/>
    <col min="7" max="7" width="11.125" style="111" customWidth="1"/>
    <col min="8" max="8" width="9.75" style="536" customWidth="1"/>
    <col min="9" max="9" width="10.125" style="589" customWidth="1"/>
    <col min="10" max="10" width="9.25" style="536" customWidth="1"/>
    <col min="11" max="11" width="13.5" style="111" customWidth="1"/>
    <col min="12" max="12" width="13.25" style="111" customWidth="1"/>
    <col min="13" max="13" width="14" style="111" customWidth="1"/>
    <col min="14" max="14" width="15" style="111" customWidth="1"/>
    <col min="15" max="15" width="7.875" style="111" customWidth="1"/>
    <col min="16" max="16" width="11.125" style="111" customWidth="1"/>
    <col min="17" max="17" width="10.625" style="111" customWidth="1"/>
    <col min="18" max="18" width="13.75" style="2" bestFit="1" customWidth="1"/>
    <col min="19" max="19" width="9" style="2"/>
    <col min="20" max="20" width="13.75" style="2" bestFit="1" customWidth="1"/>
    <col min="21" max="16384" width="9" style="2"/>
  </cols>
  <sheetData>
    <row r="1" spans="1:21" x14ac:dyDescent="0.2">
      <c r="A1" s="758" t="s">
        <v>174</v>
      </c>
      <c r="B1" s="758"/>
      <c r="C1" s="758"/>
      <c r="D1" s="758"/>
      <c r="E1" s="758"/>
      <c r="F1" s="758"/>
      <c r="G1" s="758"/>
      <c r="H1" s="758"/>
      <c r="I1" s="758"/>
      <c r="J1" s="758"/>
      <c r="K1" s="758"/>
      <c r="L1" s="758"/>
      <c r="M1" s="758"/>
      <c r="N1" s="758"/>
      <c r="O1" s="758"/>
      <c r="P1" s="758"/>
      <c r="Q1" s="758"/>
    </row>
    <row r="2" spans="1:21" x14ac:dyDescent="0.2">
      <c r="A2" s="758" t="s">
        <v>175</v>
      </c>
      <c r="B2" s="758"/>
      <c r="C2" s="758"/>
      <c r="D2" s="758"/>
      <c r="E2" s="758"/>
      <c r="F2" s="758"/>
      <c r="G2" s="758"/>
      <c r="H2" s="758"/>
      <c r="I2" s="758"/>
      <c r="J2" s="758"/>
      <c r="K2" s="758"/>
      <c r="L2" s="758"/>
      <c r="M2" s="758"/>
      <c r="N2" s="758"/>
      <c r="O2" s="758"/>
      <c r="P2" s="758"/>
      <c r="Q2" s="758"/>
    </row>
    <row r="3" spans="1:21" x14ac:dyDescent="0.2">
      <c r="A3" s="758" t="s">
        <v>282</v>
      </c>
      <c r="B3" s="758"/>
      <c r="C3" s="758"/>
      <c r="D3" s="758"/>
      <c r="E3" s="758"/>
      <c r="F3" s="758"/>
      <c r="G3" s="758"/>
      <c r="H3" s="758"/>
      <c r="I3" s="758"/>
      <c r="J3" s="758"/>
      <c r="K3" s="758"/>
      <c r="L3" s="758"/>
      <c r="M3" s="758"/>
      <c r="N3" s="758"/>
      <c r="O3" s="758"/>
      <c r="P3" s="758"/>
      <c r="Q3" s="758"/>
    </row>
    <row r="4" spans="1:21" x14ac:dyDescent="0.2">
      <c r="A4" s="3"/>
      <c r="B4" s="3"/>
      <c r="C4" s="3"/>
      <c r="D4" s="3"/>
      <c r="E4" s="3"/>
      <c r="F4" s="4"/>
      <c r="G4" s="258"/>
      <c r="H4" s="506"/>
      <c r="I4" s="554"/>
      <c r="J4" s="506"/>
      <c r="K4" s="258"/>
      <c r="L4" s="258"/>
      <c r="M4" s="258"/>
      <c r="N4" s="782" t="s">
        <v>507</v>
      </c>
      <c r="O4" s="782"/>
      <c r="P4" s="782"/>
      <c r="Q4" s="782"/>
    </row>
    <row r="5" spans="1:21" s="5" customFormat="1" ht="17.25" customHeight="1" x14ac:dyDescent="0.2">
      <c r="A5" s="793" t="s">
        <v>0</v>
      </c>
      <c r="B5" s="794"/>
      <c r="C5" s="794"/>
      <c r="D5" s="795"/>
      <c r="E5" s="773" t="s">
        <v>1</v>
      </c>
      <c r="F5" s="774"/>
      <c r="G5" s="775"/>
      <c r="H5" s="752" t="s">
        <v>190</v>
      </c>
      <c r="I5" s="752"/>
      <c r="J5" s="752"/>
      <c r="K5" s="752"/>
      <c r="L5" s="752"/>
      <c r="M5" s="752" t="s">
        <v>191</v>
      </c>
      <c r="N5" s="752"/>
      <c r="O5" s="752"/>
      <c r="P5" s="759" t="s">
        <v>293</v>
      </c>
      <c r="Q5" s="785" t="s">
        <v>2</v>
      </c>
    </row>
    <row r="6" spans="1:21" s="5" customFormat="1" ht="42" x14ac:dyDescent="0.2">
      <c r="A6" s="796"/>
      <c r="B6" s="797"/>
      <c r="C6" s="797"/>
      <c r="D6" s="798"/>
      <c r="E6" s="6" t="s">
        <v>3</v>
      </c>
      <c r="F6" s="6" t="s">
        <v>4</v>
      </c>
      <c r="G6" s="6" t="s">
        <v>5</v>
      </c>
      <c r="H6" s="504" t="s">
        <v>186</v>
      </c>
      <c r="I6" s="555" t="s">
        <v>187</v>
      </c>
      <c r="J6" s="504" t="s">
        <v>262</v>
      </c>
      <c r="K6" s="7" t="s">
        <v>188</v>
      </c>
      <c r="L6" s="7" t="s">
        <v>189</v>
      </c>
      <c r="M6" s="7" t="s">
        <v>192</v>
      </c>
      <c r="N6" s="7" t="s">
        <v>193</v>
      </c>
      <c r="O6" s="7" t="s">
        <v>194</v>
      </c>
      <c r="P6" s="760"/>
      <c r="Q6" s="786"/>
      <c r="R6" s="5" t="s">
        <v>4</v>
      </c>
      <c r="T6" s="5" t="s">
        <v>477</v>
      </c>
    </row>
    <row r="7" spans="1:21" s="9" customFormat="1" ht="25.5" customHeight="1" x14ac:dyDescent="0.2">
      <c r="A7" s="787" t="s">
        <v>6</v>
      </c>
      <c r="B7" s="788"/>
      <c r="C7" s="788"/>
      <c r="D7" s="789"/>
      <c r="E7" s="8">
        <f>F7+G7</f>
        <v>185832900</v>
      </c>
      <c r="F7" s="8">
        <f>F8+F113+F139+F179+F180</f>
        <v>110869600</v>
      </c>
      <c r="G7" s="8">
        <f>G8+G113+G139+G179</f>
        <v>74963300</v>
      </c>
      <c r="H7" s="507"/>
      <c r="I7" s="556"/>
      <c r="J7" s="507"/>
      <c r="K7" s="293">
        <f>K8+K113+K139+K179+K180</f>
        <v>94395910.900000006</v>
      </c>
      <c r="L7" s="293">
        <f>L8+L113+L139+L179+L180</f>
        <v>30389.099999999977</v>
      </c>
      <c r="M7" s="293">
        <f>M8+M113+M139+M179+M180</f>
        <v>34855238.700000003</v>
      </c>
      <c r="N7" s="293">
        <f>N8+N113+N139+N179+N180</f>
        <v>139749548.31999999</v>
      </c>
      <c r="O7" s="293">
        <f>M7*100/E7</f>
        <v>18.756225996580802</v>
      </c>
      <c r="P7" s="293">
        <f>P8+P113+P179+P180+P139</f>
        <v>537123.88</v>
      </c>
      <c r="Q7" s="8"/>
      <c r="R7" s="652">
        <f>M50+M60+M76+M111+M127+M133+M141+M143+M180</f>
        <v>13661849.780000001</v>
      </c>
      <c r="S7" s="616">
        <f>R7*100/F7</f>
        <v>12.322448876878784</v>
      </c>
      <c r="T7" s="652">
        <f>K80+K84+K93+K94+K112+K145+R7</f>
        <v>24384149.780000001</v>
      </c>
      <c r="U7" s="616">
        <f>T7*100/F7</f>
        <v>21.993539960458051</v>
      </c>
    </row>
    <row r="8" spans="1:21" s="11" customFormat="1" ht="46.5" customHeight="1" x14ac:dyDescent="0.35">
      <c r="A8" s="770" t="s">
        <v>7</v>
      </c>
      <c r="B8" s="770"/>
      <c r="C8" s="770"/>
      <c r="D8" s="770"/>
      <c r="E8" s="10">
        <f>F8+G8</f>
        <v>134441625</v>
      </c>
      <c r="F8" s="10">
        <f>F9+F41+F44+F71+F76+F96+F103</f>
        <v>99018325</v>
      </c>
      <c r="G8" s="10">
        <f>G9+G41+G44+G71+G76+G96+G103</f>
        <v>35423300</v>
      </c>
      <c r="H8" s="508"/>
      <c r="I8" s="557"/>
      <c r="J8" s="508"/>
      <c r="K8" s="10">
        <f>K9+K41+K44+K71+K76+K96+K103</f>
        <v>88357725</v>
      </c>
      <c r="L8" s="10">
        <f>L9+L41+L44+L71+L76+L96+L103</f>
        <v>0</v>
      </c>
      <c r="M8" s="294">
        <f>M9+M41+M44+M71+M76+M96+M103</f>
        <v>20542715.760000002</v>
      </c>
      <c r="N8" s="294">
        <f>N9+N41+N44+N71+N76+N96+N103</f>
        <v>102829149.36</v>
      </c>
      <c r="O8" s="320">
        <f>M8*100/E8</f>
        <v>15.280026375759741</v>
      </c>
      <c r="P8" s="294">
        <f>P9+P41+P44+P71+P76+P96+P103</f>
        <v>409159.88</v>
      </c>
      <c r="Q8" s="10"/>
      <c r="R8" s="666" t="s">
        <v>5</v>
      </c>
    </row>
    <row r="9" spans="1:21" s="11" customFormat="1" ht="25.5" customHeight="1" x14ac:dyDescent="0.2">
      <c r="A9" s="12"/>
      <c r="B9" s="790" t="s">
        <v>114</v>
      </c>
      <c r="C9" s="790"/>
      <c r="D9" s="791"/>
      <c r="E9" s="13">
        <f>F9+G9</f>
        <v>8207000</v>
      </c>
      <c r="F9" s="13">
        <f>F10+F13+F35+F37+F39</f>
        <v>0</v>
      </c>
      <c r="G9" s="13">
        <f>G10+G13+G35+G37+G39</f>
        <v>8207000</v>
      </c>
      <c r="H9" s="509"/>
      <c r="I9" s="558"/>
      <c r="J9" s="509"/>
      <c r="K9" s="13">
        <f>K10+K13+K35+K37+K39</f>
        <v>0</v>
      </c>
      <c r="L9" s="13">
        <f>L10+L13+L35+L37+L39</f>
        <v>0</v>
      </c>
      <c r="M9" s="295">
        <f>M10+M13+M35+M37+M39</f>
        <v>5008605</v>
      </c>
      <c r="N9" s="295">
        <f>N10+N13+N35+N37+N39</f>
        <v>3179555</v>
      </c>
      <c r="O9" s="295">
        <f t="shared" ref="O9:O14" si="0">M9*100/G9</f>
        <v>61.028451322042159</v>
      </c>
      <c r="P9" s="295">
        <f>P10+P13+P35+P37+P39</f>
        <v>18840</v>
      </c>
      <c r="Q9" s="14"/>
      <c r="R9" s="653">
        <f>M9+M41+M46+M47+M49+M53+M55+M67+M68+M71+M105+M108+M110+M114+M117+M126+M128+M132+M134+M135+M136+M148+M153+M174+M179</f>
        <v>21193388.920000002</v>
      </c>
      <c r="S9" s="654">
        <f>R9*100/G7</f>
        <v>28.271686171766721</v>
      </c>
    </row>
    <row r="10" spans="1:21" s="11" customFormat="1" x14ac:dyDescent="0.2">
      <c r="A10" s="792" t="s">
        <v>115</v>
      </c>
      <c r="B10" s="763"/>
      <c r="C10" s="763"/>
      <c r="D10" s="764"/>
      <c r="E10" s="15">
        <f>F10+G10</f>
        <v>1073700</v>
      </c>
      <c r="F10" s="15">
        <f>F11+F12</f>
        <v>0</v>
      </c>
      <c r="G10" s="15">
        <f>G11+G12</f>
        <v>1073700</v>
      </c>
      <c r="H10" s="510"/>
      <c r="I10" s="559"/>
      <c r="J10" s="510"/>
      <c r="K10" s="15">
        <f t="shared" ref="K10:P10" si="1">K11+K12</f>
        <v>0</v>
      </c>
      <c r="L10" s="15">
        <f t="shared" si="1"/>
        <v>0</v>
      </c>
      <c r="M10" s="296">
        <f t="shared" si="1"/>
        <v>832740</v>
      </c>
      <c r="N10" s="296">
        <f t="shared" si="1"/>
        <v>240960</v>
      </c>
      <c r="O10" s="296">
        <f t="shared" si="0"/>
        <v>77.55797708857223</v>
      </c>
      <c r="P10" s="296">
        <f t="shared" si="1"/>
        <v>0</v>
      </c>
      <c r="Q10" s="16"/>
    </row>
    <row r="11" spans="1:21" s="11" customFormat="1" ht="42" x14ac:dyDescent="0.2">
      <c r="A11" s="17"/>
      <c r="B11" s="18"/>
      <c r="C11" s="19"/>
      <c r="D11" s="20" t="s">
        <v>467</v>
      </c>
      <c r="E11" s="21">
        <f>G11</f>
        <v>220000</v>
      </c>
      <c r="F11" s="21">
        <v>0</v>
      </c>
      <c r="G11" s="22">
        <v>220000</v>
      </c>
      <c r="H11" s="627" t="s">
        <v>361</v>
      </c>
      <c r="I11" s="560"/>
      <c r="J11" s="530"/>
      <c r="K11" s="22"/>
      <c r="L11" s="22"/>
      <c r="M11" s="297">
        <f>135000+52000+5000</f>
        <v>192000</v>
      </c>
      <c r="N11" s="297">
        <f>G11-M11</f>
        <v>28000</v>
      </c>
      <c r="O11" s="297">
        <f t="shared" si="0"/>
        <v>87.272727272727266</v>
      </c>
      <c r="P11" s="297"/>
      <c r="Q11" s="112" t="s">
        <v>8</v>
      </c>
    </row>
    <row r="12" spans="1:21" s="11" customFormat="1" ht="42" x14ac:dyDescent="0.2">
      <c r="A12" s="23"/>
      <c r="B12" s="24"/>
      <c r="C12" s="24"/>
      <c r="D12" s="25" t="s">
        <v>468</v>
      </c>
      <c r="E12" s="21">
        <f>G12</f>
        <v>853700</v>
      </c>
      <c r="F12" s="26">
        <v>0</v>
      </c>
      <c r="G12" s="27">
        <v>853700</v>
      </c>
      <c r="H12" s="627" t="s">
        <v>361</v>
      </c>
      <c r="I12" s="561"/>
      <c r="J12" s="511"/>
      <c r="K12" s="27"/>
      <c r="L12" s="27"/>
      <c r="M12" s="298">
        <f>598240+42500</f>
        <v>640740</v>
      </c>
      <c r="N12" s="297">
        <f>G12-M12</f>
        <v>212960</v>
      </c>
      <c r="O12" s="297">
        <f t="shared" si="0"/>
        <v>75.054468782944824</v>
      </c>
      <c r="P12" s="297"/>
      <c r="Q12" s="112" t="s">
        <v>9</v>
      </c>
      <c r="R12" s="653"/>
    </row>
    <row r="13" spans="1:21" s="11" customFormat="1" ht="23.25" customHeight="1" x14ac:dyDescent="0.2">
      <c r="A13" s="28"/>
      <c r="B13" s="29"/>
      <c r="C13" s="767" t="s">
        <v>116</v>
      </c>
      <c r="D13" s="768"/>
      <c r="E13" s="15">
        <f>F13+G13</f>
        <v>6773300</v>
      </c>
      <c r="F13" s="15">
        <f>SUM(F14:F34)</f>
        <v>0</v>
      </c>
      <c r="G13" s="15">
        <f>G14+G15+G16+G17+G18+G19+G21+G22+G23+G24+G25+G26+G27+G28+G29+G30+G31+G32+G33+G34</f>
        <v>6773300</v>
      </c>
      <c r="H13" s="510"/>
      <c r="I13" s="559"/>
      <c r="J13" s="510"/>
      <c r="K13" s="15">
        <f>SUM(K14:K34)</f>
        <v>0</v>
      </c>
      <c r="L13" s="15">
        <f>SUM(L14:L34)</f>
        <v>0</v>
      </c>
      <c r="M13" s="296">
        <f>M14+M15+M16+M17+M18+M19+M21+M22+M23+M24+M25+M26+M27+M28+M29+M30+M31+M32+M33+M34</f>
        <v>3959665</v>
      </c>
      <c r="N13" s="296">
        <f>N14+N15+N16+N17+N18+N19+N21+N22+N23+N24+N25+N26+N27+N28+N29+N30+N31+N32+N33+N34</f>
        <v>2794795</v>
      </c>
      <c r="O13" s="296">
        <f>M13*100/G13</f>
        <v>58.4599087593935</v>
      </c>
      <c r="P13" s="296">
        <f>P14+P15+P16+P17+P18+P19+P21+P22+P23+P24+P25+P26+P27+P28+P29+P30+P31+P32+P33+P34</f>
        <v>18840</v>
      </c>
      <c r="Q13" s="113"/>
    </row>
    <row r="14" spans="1:21" s="11" customFormat="1" ht="37.5" x14ac:dyDescent="0.2">
      <c r="A14" s="17"/>
      <c r="B14" s="18"/>
      <c r="C14" s="18"/>
      <c r="D14" s="20" t="s">
        <v>117</v>
      </c>
      <c r="E14" s="21">
        <f>G14</f>
        <v>953800</v>
      </c>
      <c r="F14" s="21">
        <v>0</v>
      </c>
      <c r="G14" s="22">
        <v>953800</v>
      </c>
      <c r="H14" s="627" t="s">
        <v>361</v>
      </c>
      <c r="I14" s="560"/>
      <c r="J14" s="530"/>
      <c r="K14" s="22"/>
      <c r="L14" s="22"/>
      <c r="M14" s="297"/>
      <c r="N14" s="297">
        <f>G14-M14</f>
        <v>953800</v>
      </c>
      <c r="O14" s="297">
        <f t="shared" si="0"/>
        <v>0</v>
      </c>
      <c r="P14" s="297"/>
      <c r="Q14" s="114" t="s">
        <v>8</v>
      </c>
    </row>
    <row r="15" spans="1:21" s="11" customFormat="1" ht="63" x14ac:dyDescent="0.2">
      <c r="A15" s="30"/>
      <c r="B15" s="31"/>
      <c r="C15" s="31"/>
      <c r="D15" s="32" t="s">
        <v>268</v>
      </c>
      <c r="E15" s="21">
        <f>G15</f>
        <v>50000</v>
      </c>
      <c r="F15" s="21">
        <v>0</v>
      </c>
      <c r="G15" s="22">
        <v>50000</v>
      </c>
      <c r="H15" s="548" t="s">
        <v>401</v>
      </c>
      <c r="I15" s="560"/>
      <c r="J15" s="530"/>
      <c r="K15" s="22"/>
      <c r="L15" s="22"/>
      <c r="M15" s="297">
        <f>23600+300+4000+7100+15000</f>
        <v>50000</v>
      </c>
      <c r="N15" s="297">
        <f t="shared" ref="N15:N34" si="2">G15-M15</f>
        <v>0</v>
      </c>
      <c r="O15" s="297">
        <f t="shared" ref="O15:O34" si="3">M15*100/G15</f>
        <v>100</v>
      </c>
      <c r="P15" s="297"/>
      <c r="Q15" s="112" t="s">
        <v>10</v>
      </c>
    </row>
    <row r="16" spans="1:21" s="11" customFormat="1" x14ac:dyDescent="0.2">
      <c r="A16" s="17"/>
      <c r="B16" s="18"/>
      <c r="C16" s="18"/>
      <c r="D16" s="20" t="s">
        <v>118</v>
      </c>
      <c r="E16" s="21">
        <f t="shared" ref="E16:E34" si="4">G16</f>
        <v>960000</v>
      </c>
      <c r="F16" s="21">
        <v>0</v>
      </c>
      <c r="G16" s="22">
        <v>960000</v>
      </c>
      <c r="H16" s="627" t="s">
        <v>401</v>
      </c>
      <c r="I16" s="560"/>
      <c r="J16" s="530"/>
      <c r="K16" s="22"/>
      <c r="L16" s="22"/>
      <c r="M16" s="297">
        <f>285000+285000+285000+19660+35000+35000</f>
        <v>944660</v>
      </c>
      <c r="N16" s="297">
        <f>G16-M16-P16</f>
        <v>0</v>
      </c>
      <c r="O16" s="297">
        <v>100</v>
      </c>
      <c r="P16" s="297">
        <v>15340</v>
      </c>
      <c r="Q16" s="112" t="s">
        <v>11</v>
      </c>
    </row>
    <row r="17" spans="1:17" s="11" customFormat="1" x14ac:dyDescent="0.2">
      <c r="A17" s="30"/>
      <c r="B17" s="31"/>
      <c r="C17" s="31"/>
      <c r="D17" s="32" t="s">
        <v>119</v>
      </c>
      <c r="E17" s="21">
        <f t="shared" si="4"/>
        <v>220800</v>
      </c>
      <c r="F17" s="21">
        <v>0</v>
      </c>
      <c r="G17" s="22">
        <v>220800</v>
      </c>
      <c r="H17" s="627" t="s">
        <v>401</v>
      </c>
      <c r="I17" s="560"/>
      <c r="J17" s="530"/>
      <c r="K17" s="22"/>
      <c r="L17" s="22"/>
      <c r="M17" s="297">
        <f>53600+53600+53600+20000+20000+20000</f>
        <v>220800</v>
      </c>
      <c r="N17" s="297">
        <f>G17-M17</f>
        <v>0</v>
      </c>
      <c r="O17" s="297">
        <f t="shared" si="3"/>
        <v>100</v>
      </c>
      <c r="P17" s="297"/>
      <c r="Q17" s="112" t="s">
        <v>11</v>
      </c>
    </row>
    <row r="18" spans="1:17" s="11" customFormat="1" ht="37.5" x14ac:dyDescent="0.2">
      <c r="A18" s="17"/>
      <c r="B18" s="18"/>
      <c r="C18" s="18"/>
      <c r="D18" s="20" t="s">
        <v>120</v>
      </c>
      <c r="E18" s="21">
        <f t="shared" si="4"/>
        <v>500000</v>
      </c>
      <c r="F18" s="21">
        <v>0</v>
      </c>
      <c r="G18" s="22">
        <v>500000</v>
      </c>
      <c r="H18" s="627" t="s">
        <v>361</v>
      </c>
      <c r="I18" s="560"/>
      <c r="J18" s="530"/>
      <c r="K18" s="22"/>
      <c r="L18" s="22"/>
      <c r="M18" s="297">
        <f>66960+25000+25080+65520</f>
        <v>182560</v>
      </c>
      <c r="N18" s="297">
        <f t="shared" si="2"/>
        <v>317440</v>
      </c>
      <c r="O18" s="297">
        <f>M18*100/G18</f>
        <v>36.512</v>
      </c>
      <c r="P18" s="297"/>
      <c r="Q18" s="112" t="s">
        <v>11</v>
      </c>
    </row>
    <row r="19" spans="1:17" s="9" customFormat="1" ht="42" x14ac:dyDescent="0.2">
      <c r="A19" s="33"/>
      <c r="B19" s="34"/>
      <c r="C19" s="34"/>
      <c r="D19" s="32" t="s">
        <v>121</v>
      </c>
      <c r="E19" s="21">
        <f t="shared" si="4"/>
        <v>500000</v>
      </c>
      <c r="F19" s="35">
        <v>0</v>
      </c>
      <c r="G19" s="36">
        <v>500000</v>
      </c>
      <c r="H19" s="627" t="s">
        <v>361</v>
      </c>
      <c r="I19" s="562"/>
      <c r="J19" s="543"/>
      <c r="K19" s="36"/>
      <c r="L19" s="36"/>
      <c r="M19" s="303">
        <f>86200+39800+12000</f>
        <v>138000</v>
      </c>
      <c r="N19" s="297">
        <f t="shared" si="2"/>
        <v>362000</v>
      </c>
      <c r="O19" s="297">
        <f t="shared" si="3"/>
        <v>27.6</v>
      </c>
      <c r="P19" s="297"/>
      <c r="Q19" s="115" t="s">
        <v>11</v>
      </c>
    </row>
    <row r="20" spans="1:17" s="11" customFormat="1" ht="37.5" x14ac:dyDescent="0.2">
      <c r="A20" s="17"/>
      <c r="B20" s="18"/>
      <c r="C20" s="18"/>
      <c r="D20" s="37" t="s">
        <v>122</v>
      </c>
      <c r="E20" s="21">
        <f t="shared" si="4"/>
        <v>685000</v>
      </c>
      <c r="F20" s="26">
        <v>0</v>
      </c>
      <c r="G20" s="26">
        <f>SUM(G21:G27)</f>
        <v>685000</v>
      </c>
      <c r="H20" s="627" t="s">
        <v>361</v>
      </c>
      <c r="I20" s="563"/>
      <c r="J20" s="514"/>
      <c r="K20" s="26"/>
      <c r="L20" s="26"/>
      <c r="M20" s="301">
        <f>SUM(M21:M27)</f>
        <v>480095</v>
      </c>
      <c r="N20" s="297">
        <f t="shared" si="2"/>
        <v>204905</v>
      </c>
      <c r="O20" s="297">
        <f t="shared" si="3"/>
        <v>70.08686131386861</v>
      </c>
      <c r="P20" s="297">
        <f>SUM(P21:P27)</f>
        <v>3500</v>
      </c>
      <c r="Q20" s="112" t="s">
        <v>11</v>
      </c>
    </row>
    <row r="21" spans="1:17" s="360" customFormat="1" ht="37.5" x14ac:dyDescent="0.2">
      <c r="A21" s="23"/>
      <c r="B21" s="24"/>
      <c r="C21" s="24"/>
      <c r="D21" s="362" t="s">
        <v>310</v>
      </c>
      <c r="E21" s="21">
        <f t="shared" si="4"/>
        <v>280000</v>
      </c>
      <c r="F21" s="21"/>
      <c r="G21" s="22">
        <v>280000</v>
      </c>
      <c r="H21" s="627" t="s">
        <v>361</v>
      </c>
      <c r="I21" s="560"/>
      <c r="J21" s="530"/>
      <c r="K21" s="22"/>
      <c r="L21" s="22"/>
      <c r="M21" s="297">
        <f>30000+7000+40000+40000</f>
        <v>117000</v>
      </c>
      <c r="N21" s="297">
        <f t="shared" si="2"/>
        <v>163000</v>
      </c>
      <c r="O21" s="297">
        <f t="shared" si="3"/>
        <v>41.785714285714285</v>
      </c>
      <c r="P21" s="297"/>
      <c r="Q21" s="361"/>
    </row>
    <row r="22" spans="1:17" s="360" customFormat="1" ht="37.5" x14ac:dyDescent="0.2">
      <c r="A22" s="23"/>
      <c r="B22" s="24"/>
      <c r="C22" s="24"/>
      <c r="D22" s="362" t="s">
        <v>311</v>
      </c>
      <c r="E22" s="21">
        <f t="shared" si="4"/>
        <v>100000</v>
      </c>
      <c r="F22" s="21"/>
      <c r="G22" s="22">
        <v>100000</v>
      </c>
      <c r="H22" s="627" t="s">
        <v>361</v>
      </c>
      <c r="I22" s="560"/>
      <c r="J22" s="530"/>
      <c r="K22" s="22"/>
      <c r="L22" s="22"/>
      <c r="M22" s="297">
        <f>89800+10200</f>
        <v>100000</v>
      </c>
      <c r="N22" s="297">
        <f t="shared" si="2"/>
        <v>0</v>
      </c>
      <c r="O22" s="297">
        <f t="shared" si="3"/>
        <v>100</v>
      </c>
      <c r="P22" s="297"/>
      <c r="Q22" s="361"/>
    </row>
    <row r="23" spans="1:17" s="360" customFormat="1" ht="27.75" customHeight="1" x14ac:dyDescent="0.2">
      <c r="A23" s="23"/>
      <c r="B23" s="24"/>
      <c r="C23" s="24"/>
      <c r="D23" s="362" t="s">
        <v>312</v>
      </c>
      <c r="E23" s="21">
        <f t="shared" si="4"/>
        <v>100000</v>
      </c>
      <c r="F23" s="21"/>
      <c r="G23" s="22">
        <v>100000</v>
      </c>
      <c r="H23" s="627" t="s">
        <v>401</v>
      </c>
      <c r="I23" s="560"/>
      <c r="J23" s="530"/>
      <c r="K23" s="22"/>
      <c r="L23" s="22"/>
      <c r="M23" s="297">
        <f>46000+54000</f>
        <v>100000</v>
      </c>
      <c r="N23" s="297">
        <f t="shared" si="2"/>
        <v>0</v>
      </c>
      <c r="O23" s="297">
        <f t="shared" si="3"/>
        <v>100</v>
      </c>
      <c r="P23" s="297"/>
      <c r="Q23" s="361"/>
    </row>
    <row r="24" spans="1:17" s="360" customFormat="1" ht="37.5" x14ac:dyDescent="0.2">
      <c r="A24" s="23"/>
      <c r="B24" s="24"/>
      <c r="C24" s="24"/>
      <c r="D24" s="362" t="s">
        <v>313</v>
      </c>
      <c r="E24" s="21">
        <f t="shared" si="4"/>
        <v>50000</v>
      </c>
      <c r="F24" s="21"/>
      <c r="G24" s="22">
        <v>50000</v>
      </c>
      <c r="H24" s="627" t="s">
        <v>361</v>
      </c>
      <c r="I24" s="560"/>
      <c r="J24" s="530"/>
      <c r="K24" s="22"/>
      <c r="L24" s="22"/>
      <c r="M24" s="297">
        <f>17400+29100</f>
        <v>46500</v>
      </c>
      <c r="N24" s="297">
        <f>G24-M24-P24</f>
        <v>0</v>
      </c>
      <c r="O24" s="297">
        <f t="shared" si="3"/>
        <v>93</v>
      </c>
      <c r="P24" s="297">
        <v>3500</v>
      </c>
      <c r="Q24" s="361"/>
    </row>
    <row r="25" spans="1:17" s="360" customFormat="1" ht="37.5" x14ac:dyDescent="0.2">
      <c r="A25" s="23"/>
      <c r="B25" s="24"/>
      <c r="C25" s="24"/>
      <c r="D25" s="362" t="s">
        <v>314</v>
      </c>
      <c r="E25" s="21">
        <f t="shared" si="4"/>
        <v>50000</v>
      </c>
      <c r="F25" s="21"/>
      <c r="G25" s="22">
        <v>50000</v>
      </c>
      <c r="H25" s="627" t="s">
        <v>361</v>
      </c>
      <c r="I25" s="560"/>
      <c r="J25" s="530"/>
      <c r="K25" s="22"/>
      <c r="L25" s="22"/>
      <c r="M25" s="297">
        <f>7800+36900+5300</f>
        <v>50000</v>
      </c>
      <c r="N25" s="297">
        <f t="shared" si="2"/>
        <v>0</v>
      </c>
      <c r="O25" s="297">
        <f t="shared" si="3"/>
        <v>100</v>
      </c>
      <c r="P25" s="297"/>
      <c r="Q25" s="361"/>
    </row>
    <row r="26" spans="1:17" s="360" customFormat="1" ht="37.5" x14ac:dyDescent="0.2">
      <c r="A26" s="23"/>
      <c r="B26" s="24"/>
      <c r="C26" s="24"/>
      <c r="D26" s="362" t="s">
        <v>315</v>
      </c>
      <c r="E26" s="21">
        <f t="shared" si="4"/>
        <v>50000</v>
      </c>
      <c r="F26" s="21"/>
      <c r="G26" s="22">
        <v>50000</v>
      </c>
      <c r="H26" s="627" t="s">
        <v>361</v>
      </c>
      <c r="I26" s="560"/>
      <c r="J26" s="530"/>
      <c r="K26" s="22"/>
      <c r="L26" s="22"/>
      <c r="M26" s="297">
        <v>11595</v>
      </c>
      <c r="N26" s="297">
        <f t="shared" si="2"/>
        <v>38405</v>
      </c>
      <c r="O26" s="297">
        <f t="shared" si="3"/>
        <v>23.19</v>
      </c>
      <c r="P26" s="297"/>
      <c r="Q26" s="361"/>
    </row>
    <row r="27" spans="1:17" s="360" customFormat="1" ht="25.5" customHeight="1" x14ac:dyDescent="0.2">
      <c r="A27" s="23"/>
      <c r="B27" s="24"/>
      <c r="C27" s="24"/>
      <c r="D27" s="362" t="s">
        <v>316</v>
      </c>
      <c r="E27" s="21">
        <f t="shared" si="4"/>
        <v>55000</v>
      </c>
      <c r="F27" s="21"/>
      <c r="G27" s="22">
        <v>55000</v>
      </c>
      <c r="H27" s="627" t="s">
        <v>401</v>
      </c>
      <c r="I27" s="560"/>
      <c r="J27" s="530"/>
      <c r="K27" s="22"/>
      <c r="L27" s="22"/>
      <c r="M27" s="297">
        <v>55000</v>
      </c>
      <c r="N27" s="297">
        <f t="shared" si="2"/>
        <v>0</v>
      </c>
      <c r="O27" s="297">
        <f t="shared" si="3"/>
        <v>100</v>
      </c>
      <c r="P27" s="297"/>
      <c r="Q27" s="361"/>
    </row>
    <row r="28" spans="1:17" s="11" customFormat="1" ht="37.5" x14ac:dyDescent="0.2">
      <c r="A28" s="23"/>
      <c r="B28" s="24"/>
      <c r="C28" s="24"/>
      <c r="D28" s="25" t="s">
        <v>423</v>
      </c>
      <c r="E28" s="21">
        <f t="shared" si="4"/>
        <v>140000</v>
      </c>
      <c r="F28" s="21">
        <v>0</v>
      </c>
      <c r="G28" s="22">
        <v>140000</v>
      </c>
      <c r="H28" s="627" t="s">
        <v>361</v>
      </c>
      <c r="I28" s="560"/>
      <c r="J28" s="530"/>
      <c r="K28" s="22"/>
      <c r="L28" s="22"/>
      <c r="M28" s="297">
        <f>4000+4000+9000+11000+4000+7000+4000+10000+4000+6000+20000</f>
        <v>83000</v>
      </c>
      <c r="N28" s="297">
        <f t="shared" si="2"/>
        <v>57000</v>
      </c>
      <c r="O28" s="297">
        <f t="shared" si="3"/>
        <v>59.285714285714285</v>
      </c>
      <c r="P28" s="297"/>
      <c r="Q28" s="114" t="s">
        <v>11</v>
      </c>
    </row>
    <row r="29" spans="1:17" s="11" customFormat="1" ht="37.5" x14ac:dyDescent="0.2">
      <c r="A29" s="17"/>
      <c r="B29" s="18"/>
      <c r="C29" s="18"/>
      <c r="D29" s="20" t="s">
        <v>123</v>
      </c>
      <c r="E29" s="21">
        <f t="shared" si="4"/>
        <v>900000</v>
      </c>
      <c r="F29" s="21">
        <v>0</v>
      </c>
      <c r="G29" s="22">
        <v>900000</v>
      </c>
      <c r="H29" s="627" t="s">
        <v>361</v>
      </c>
      <c r="I29" s="560"/>
      <c r="J29" s="530"/>
      <c r="K29" s="22"/>
      <c r="L29" s="22"/>
      <c r="M29" s="297">
        <f>262650+37350+262650+37350+262650</f>
        <v>862650</v>
      </c>
      <c r="N29" s="297">
        <f t="shared" si="2"/>
        <v>37350</v>
      </c>
      <c r="O29" s="297">
        <f t="shared" si="3"/>
        <v>95.85</v>
      </c>
      <c r="P29" s="297"/>
      <c r="Q29" s="112" t="s">
        <v>11</v>
      </c>
    </row>
    <row r="30" spans="1:17" s="11" customFormat="1" ht="42" x14ac:dyDescent="0.2">
      <c r="A30" s="17"/>
      <c r="B30" s="18"/>
      <c r="C30" s="18"/>
      <c r="D30" s="20" t="s">
        <v>469</v>
      </c>
      <c r="E30" s="21">
        <f t="shared" si="4"/>
        <v>50000</v>
      </c>
      <c r="F30" s="26">
        <v>0</v>
      </c>
      <c r="G30" s="27">
        <v>50000</v>
      </c>
      <c r="H30" s="627" t="s">
        <v>401</v>
      </c>
      <c r="I30" s="561"/>
      <c r="J30" s="511"/>
      <c r="K30" s="27"/>
      <c r="L30" s="27"/>
      <c r="M30" s="298">
        <f>22100+27900</f>
        <v>50000</v>
      </c>
      <c r="N30" s="297">
        <f t="shared" si="2"/>
        <v>0</v>
      </c>
      <c r="O30" s="297">
        <f t="shared" si="3"/>
        <v>100</v>
      </c>
      <c r="P30" s="297"/>
      <c r="Q30" s="112" t="s">
        <v>11</v>
      </c>
    </row>
    <row r="31" spans="1:17" s="11" customFormat="1" ht="42" x14ac:dyDescent="0.2">
      <c r="A31" s="620"/>
      <c r="B31" s="621"/>
      <c r="C31" s="621"/>
      <c r="D31" s="622" t="s">
        <v>125</v>
      </c>
      <c r="E31" s="623">
        <f t="shared" si="4"/>
        <v>150000</v>
      </c>
      <c r="F31" s="623">
        <v>0</v>
      </c>
      <c r="G31" s="624">
        <v>150000</v>
      </c>
      <c r="H31" s="667" t="s">
        <v>361</v>
      </c>
      <c r="I31" s="561"/>
      <c r="J31" s="511"/>
      <c r="K31" s="624"/>
      <c r="L31" s="624"/>
      <c r="M31" s="626"/>
      <c r="N31" s="626">
        <f t="shared" si="2"/>
        <v>150000</v>
      </c>
      <c r="O31" s="626">
        <f t="shared" si="3"/>
        <v>0</v>
      </c>
      <c r="P31" s="626"/>
      <c r="Q31" s="625" t="s">
        <v>11</v>
      </c>
    </row>
    <row r="32" spans="1:17" s="9" customFormat="1" ht="42" x14ac:dyDescent="0.2">
      <c r="A32" s="38"/>
      <c r="B32" s="39"/>
      <c r="C32" s="39"/>
      <c r="D32" s="20" t="s">
        <v>124</v>
      </c>
      <c r="E32" s="26">
        <f t="shared" si="4"/>
        <v>360000</v>
      </c>
      <c r="F32" s="82">
        <v>0</v>
      </c>
      <c r="G32" s="83">
        <v>360000</v>
      </c>
      <c r="H32" s="627" t="s">
        <v>401</v>
      </c>
      <c r="I32" s="564"/>
      <c r="J32" s="528"/>
      <c r="K32" s="83"/>
      <c r="L32" s="83"/>
      <c r="M32" s="314">
        <f>300550+59450</f>
        <v>360000</v>
      </c>
      <c r="N32" s="298">
        <f t="shared" si="2"/>
        <v>0</v>
      </c>
      <c r="O32" s="298">
        <f t="shared" si="3"/>
        <v>100</v>
      </c>
      <c r="P32" s="298"/>
      <c r="Q32" s="112" t="s">
        <v>11</v>
      </c>
    </row>
    <row r="33" spans="1:17" s="11" customFormat="1" ht="42" x14ac:dyDescent="0.2">
      <c r="A33" s="17"/>
      <c r="B33" s="18"/>
      <c r="C33" s="18"/>
      <c r="D33" s="20" t="s">
        <v>470</v>
      </c>
      <c r="E33" s="21">
        <f t="shared" si="4"/>
        <v>1020000</v>
      </c>
      <c r="F33" s="21">
        <v>0</v>
      </c>
      <c r="G33" s="27">
        <v>1020000</v>
      </c>
      <c r="H33" s="627" t="s">
        <v>361</v>
      </c>
      <c r="I33" s="561"/>
      <c r="J33" s="511"/>
      <c r="K33" s="27"/>
      <c r="L33" s="27"/>
      <c r="M33" s="298">
        <f>39000+4000+4000+12000+16000+86000+12000+12000+35000+84000+8000+24000</f>
        <v>336000</v>
      </c>
      <c r="N33" s="297">
        <f t="shared" si="2"/>
        <v>684000</v>
      </c>
      <c r="O33" s="297">
        <f t="shared" si="3"/>
        <v>32.941176470588232</v>
      </c>
      <c r="P33" s="297"/>
      <c r="Q33" s="112" t="s">
        <v>11</v>
      </c>
    </row>
    <row r="34" spans="1:17" s="11" customFormat="1" ht="45.75" customHeight="1" x14ac:dyDescent="0.2">
      <c r="A34" s="30"/>
      <c r="B34" s="31"/>
      <c r="C34" s="31"/>
      <c r="D34" s="25" t="s">
        <v>471</v>
      </c>
      <c r="E34" s="21">
        <f t="shared" si="4"/>
        <v>283700</v>
      </c>
      <c r="F34" s="21">
        <v>0</v>
      </c>
      <c r="G34" s="27">
        <v>283700</v>
      </c>
      <c r="H34" s="627" t="s">
        <v>361</v>
      </c>
      <c r="I34" s="561"/>
      <c r="J34" s="511"/>
      <c r="K34" s="27"/>
      <c r="L34" s="27"/>
      <c r="M34" s="298">
        <f>178800+28100+45000</f>
        <v>251900</v>
      </c>
      <c r="N34" s="297">
        <f t="shared" si="2"/>
        <v>31800</v>
      </c>
      <c r="O34" s="297">
        <f t="shared" si="3"/>
        <v>88.790976383503704</v>
      </c>
      <c r="P34" s="297"/>
      <c r="Q34" s="112" t="s">
        <v>11</v>
      </c>
    </row>
    <row r="35" spans="1:17" s="11" customFormat="1" x14ac:dyDescent="0.2">
      <c r="A35" s="40"/>
      <c r="B35" s="41"/>
      <c r="C35" s="765" t="s">
        <v>126</v>
      </c>
      <c r="D35" s="766"/>
      <c r="E35" s="15">
        <f>F35+G35</f>
        <v>80000</v>
      </c>
      <c r="F35" s="15">
        <f>F36</f>
        <v>0</v>
      </c>
      <c r="G35" s="15">
        <f>G36</f>
        <v>80000</v>
      </c>
      <c r="H35" s="510"/>
      <c r="I35" s="559"/>
      <c r="J35" s="510"/>
      <c r="K35" s="15">
        <f t="shared" ref="K35:P35" si="5">K36</f>
        <v>0</v>
      </c>
      <c r="L35" s="15">
        <f t="shared" si="5"/>
        <v>0</v>
      </c>
      <c r="M35" s="296">
        <f t="shared" si="5"/>
        <v>65000</v>
      </c>
      <c r="N35" s="296">
        <f t="shared" si="5"/>
        <v>15000</v>
      </c>
      <c r="O35" s="296">
        <f t="shared" ref="O35:O43" si="6">M35*100/G35</f>
        <v>81.25</v>
      </c>
      <c r="P35" s="296">
        <f t="shared" si="5"/>
        <v>0</v>
      </c>
      <c r="Q35" s="113"/>
    </row>
    <row r="36" spans="1:17" s="11" customFormat="1" ht="37.5" x14ac:dyDescent="0.2">
      <c r="A36" s="17"/>
      <c r="B36" s="18"/>
      <c r="C36" s="19"/>
      <c r="D36" s="20" t="s">
        <v>129</v>
      </c>
      <c r="E36" s="26">
        <f>G36</f>
        <v>80000</v>
      </c>
      <c r="F36" s="26">
        <v>0</v>
      </c>
      <c r="G36" s="27">
        <v>80000</v>
      </c>
      <c r="H36" s="627" t="s">
        <v>361</v>
      </c>
      <c r="I36" s="561"/>
      <c r="J36" s="511"/>
      <c r="K36" s="27"/>
      <c r="L36" s="27"/>
      <c r="M36" s="298">
        <f>32200+4000+28800</f>
        <v>65000</v>
      </c>
      <c r="N36" s="298">
        <f>G36-M36</f>
        <v>15000</v>
      </c>
      <c r="O36" s="298">
        <f t="shared" si="6"/>
        <v>81.25</v>
      </c>
      <c r="P36" s="298"/>
      <c r="Q36" s="112" t="s">
        <v>8</v>
      </c>
    </row>
    <row r="37" spans="1:17" s="11" customFormat="1" x14ac:dyDescent="0.2">
      <c r="A37" s="42"/>
      <c r="B37" s="43"/>
      <c r="C37" s="783" t="s">
        <v>127</v>
      </c>
      <c r="D37" s="784"/>
      <c r="E37" s="15">
        <f>F37+G37</f>
        <v>80000</v>
      </c>
      <c r="F37" s="15">
        <f>F38</f>
        <v>0</v>
      </c>
      <c r="G37" s="15">
        <f>G38</f>
        <v>80000</v>
      </c>
      <c r="H37" s="510"/>
      <c r="I37" s="559"/>
      <c r="J37" s="510"/>
      <c r="K37" s="15">
        <f t="shared" ref="K37:P37" si="7">K38</f>
        <v>0</v>
      </c>
      <c r="L37" s="15">
        <f t="shared" si="7"/>
        <v>0</v>
      </c>
      <c r="M37" s="296">
        <f t="shared" si="7"/>
        <v>32200</v>
      </c>
      <c r="N37" s="296">
        <f t="shared" si="7"/>
        <v>47800</v>
      </c>
      <c r="O37" s="296">
        <f t="shared" si="6"/>
        <v>40.25</v>
      </c>
      <c r="P37" s="296">
        <f t="shared" si="7"/>
        <v>0</v>
      </c>
      <c r="Q37" s="113"/>
    </row>
    <row r="38" spans="1:17" s="11" customFormat="1" ht="37.5" x14ac:dyDescent="0.2">
      <c r="A38" s="17"/>
      <c r="B38" s="18"/>
      <c r="C38" s="19"/>
      <c r="D38" s="20" t="s">
        <v>130</v>
      </c>
      <c r="E38" s="26">
        <f>G38</f>
        <v>80000</v>
      </c>
      <c r="F38" s="26">
        <v>0</v>
      </c>
      <c r="G38" s="27">
        <v>80000</v>
      </c>
      <c r="H38" s="627" t="s">
        <v>361</v>
      </c>
      <c r="I38" s="561"/>
      <c r="J38" s="511"/>
      <c r="K38" s="27"/>
      <c r="L38" s="27"/>
      <c r="M38" s="298">
        <f>32200</f>
        <v>32200</v>
      </c>
      <c r="N38" s="298">
        <f>G38-M38</f>
        <v>47800</v>
      </c>
      <c r="O38" s="298">
        <f t="shared" si="6"/>
        <v>40.25</v>
      </c>
      <c r="P38" s="298"/>
      <c r="Q38" s="112" t="s">
        <v>8</v>
      </c>
    </row>
    <row r="39" spans="1:17" s="11" customFormat="1" x14ac:dyDescent="0.2">
      <c r="A39" s="40"/>
      <c r="B39" s="41"/>
      <c r="C39" s="765" t="s">
        <v>128</v>
      </c>
      <c r="D39" s="766"/>
      <c r="E39" s="15">
        <f>F39+G39</f>
        <v>200000</v>
      </c>
      <c r="F39" s="15">
        <f>F40</f>
        <v>0</v>
      </c>
      <c r="G39" s="15">
        <f>G40</f>
        <v>200000</v>
      </c>
      <c r="H39" s="510"/>
      <c r="I39" s="559"/>
      <c r="J39" s="510"/>
      <c r="K39" s="15">
        <f t="shared" ref="K39:P39" si="8">K40</f>
        <v>0</v>
      </c>
      <c r="L39" s="15">
        <f t="shared" si="8"/>
        <v>0</v>
      </c>
      <c r="M39" s="296">
        <f t="shared" si="8"/>
        <v>119000</v>
      </c>
      <c r="N39" s="296">
        <f t="shared" si="8"/>
        <v>81000</v>
      </c>
      <c r="O39" s="296">
        <f t="shared" si="6"/>
        <v>59.5</v>
      </c>
      <c r="P39" s="296">
        <f t="shared" si="8"/>
        <v>0</v>
      </c>
      <c r="Q39" s="113"/>
    </row>
    <row r="40" spans="1:17" s="11" customFormat="1" ht="37.5" x14ac:dyDescent="0.2">
      <c r="A40" s="17"/>
      <c r="B40" s="18"/>
      <c r="C40" s="19"/>
      <c r="D40" s="20" t="s">
        <v>131</v>
      </c>
      <c r="E40" s="26">
        <f>G40</f>
        <v>200000</v>
      </c>
      <c r="F40" s="26">
        <v>0</v>
      </c>
      <c r="G40" s="27">
        <v>200000</v>
      </c>
      <c r="H40" s="627" t="s">
        <v>361</v>
      </c>
      <c r="I40" s="561"/>
      <c r="J40" s="511"/>
      <c r="K40" s="27"/>
      <c r="L40" s="27"/>
      <c r="M40" s="298">
        <f>25000+10000+6000+25000+6000+7000+25000+15000</f>
        <v>119000</v>
      </c>
      <c r="N40" s="298">
        <f>G40-M40</f>
        <v>81000</v>
      </c>
      <c r="O40" s="298">
        <f t="shared" si="6"/>
        <v>59.5</v>
      </c>
      <c r="P40" s="298"/>
      <c r="Q40" s="112" t="s">
        <v>11</v>
      </c>
    </row>
    <row r="41" spans="1:17" s="11" customFormat="1" ht="28.5" customHeight="1" x14ac:dyDescent="0.2">
      <c r="A41" s="44"/>
      <c r="B41" s="761" t="s">
        <v>132</v>
      </c>
      <c r="C41" s="761"/>
      <c r="D41" s="762"/>
      <c r="E41" s="13">
        <f>F41+G41</f>
        <v>220000</v>
      </c>
      <c r="F41" s="13">
        <f>F42</f>
        <v>0</v>
      </c>
      <c r="G41" s="13">
        <f>G42</f>
        <v>220000</v>
      </c>
      <c r="H41" s="509"/>
      <c r="I41" s="558"/>
      <c r="J41" s="509"/>
      <c r="K41" s="13">
        <f t="shared" ref="K41:P42" si="9">K42</f>
        <v>0</v>
      </c>
      <c r="L41" s="13">
        <f t="shared" si="9"/>
        <v>0</v>
      </c>
      <c r="M41" s="295">
        <f t="shared" si="9"/>
        <v>220000</v>
      </c>
      <c r="N41" s="295">
        <f t="shared" si="9"/>
        <v>0</v>
      </c>
      <c r="O41" s="295">
        <f t="shared" si="6"/>
        <v>100</v>
      </c>
      <c r="P41" s="295">
        <f t="shared" si="9"/>
        <v>0</v>
      </c>
      <c r="Q41" s="116"/>
    </row>
    <row r="42" spans="1:17" s="11" customFormat="1" ht="40.5" customHeight="1" x14ac:dyDescent="0.2">
      <c r="A42" s="28"/>
      <c r="B42" s="29"/>
      <c r="C42" s="763" t="s">
        <v>133</v>
      </c>
      <c r="D42" s="764"/>
      <c r="E42" s="45">
        <f>F42+G42</f>
        <v>220000</v>
      </c>
      <c r="F42" s="45">
        <f>F43</f>
        <v>0</v>
      </c>
      <c r="G42" s="46">
        <f>G43</f>
        <v>220000</v>
      </c>
      <c r="H42" s="512"/>
      <c r="I42" s="565"/>
      <c r="J42" s="512"/>
      <c r="K42" s="46">
        <f t="shared" si="9"/>
        <v>0</v>
      </c>
      <c r="L42" s="46">
        <f t="shared" si="9"/>
        <v>0</v>
      </c>
      <c r="M42" s="299">
        <f t="shared" si="9"/>
        <v>220000</v>
      </c>
      <c r="N42" s="299">
        <f t="shared" si="9"/>
        <v>0</v>
      </c>
      <c r="O42" s="299">
        <f t="shared" si="6"/>
        <v>100</v>
      </c>
      <c r="P42" s="299">
        <f t="shared" si="9"/>
        <v>0</v>
      </c>
      <c r="Q42" s="113"/>
    </row>
    <row r="43" spans="1:17" ht="31.5" x14ac:dyDescent="0.2">
      <c r="A43" s="47"/>
      <c r="B43" s="48"/>
      <c r="C43" s="48"/>
      <c r="D43" s="25" t="s">
        <v>134</v>
      </c>
      <c r="E43" s="26">
        <f>G43</f>
        <v>220000</v>
      </c>
      <c r="F43" s="49">
        <v>0</v>
      </c>
      <c r="G43" s="22">
        <v>220000</v>
      </c>
      <c r="H43" s="627" t="s">
        <v>401</v>
      </c>
      <c r="I43" s="560"/>
      <c r="J43" s="530"/>
      <c r="K43" s="22"/>
      <c r="L43" s="22"/>
      <c r="M43" s="297">
        <f>116000+35000+1500+8000+35000+20000+1500+3000</f>
        <v>220000</v>
      </c>
      <c r="N43" s="297">
        <f>G43-M43</f>
        <v>0</v>
      </c>
      <c r="O43" s="297">
        <f t="shared" si="6"/>
        <v>100</v>
      </c>
      <c r="P43" s="297"/>
      <c r="Q43" s="112" t="s">
        <v>12</v>
      </c>
    </row>
    <row r="44" spans="1:17" s="11" customFormat="1" ht="39.75" customHeight="1" x14ac:dyDescent="0.2">
      <c r="A44" s="44"/>
      <c r="B44" s="761" t="s">
        <v>135</v>
      </c>
      <c r="C44" s="761"/>
      <c r="D44" s="762"/>
      <c r="E44" s="50">
        <f>F44+G44</f>
        <v>29097400</v>
      </c>
      <c r="F44" s="50">
        <f>F45+F68</f>
        <v>6922500</v>
      </c>
      <c r="G44" s="50">
        <f>G45+G68</f>
        <v>22174900</v>
      </c>
      <c r="H44" s="513"/>
      <c r="I44" s="566"/>
      <c r="J44" s="513"/>
      <c r="K44" s="50">
        <f>K45+K68</f>
        <v>3390000</v>
      </c>
      <c r="L44" s="50">
        <f>L45+L68</f>
        <v>0</v>
      </c>
      <c r="M44" s="300">
        <f>M45+M68</f>
        <v>1839811.9800000002</v>
      </c>
      <c r="N44" s="300">
        <f>N45+N68</f>
        <v>23699471.02</v>
      </c>
      <c r="O44" s="300">
        <f>M44*100/E44</f>
        <v>6.3229428746211012</v>
      </c>
      <c r="P44" s="300">
        <f>P45+P68</f>
        <v>25617</v>
      </c>
      <c r="Q44" s="117"/>
    </row>
    <row r="45" spans="1:17" s="11" customFormat="1" ht="25.5" customHeight="1" x14ac:dyDescent="0.2">
      <c r="A45" s="28"/>
      <c r="B45" s="29"/>
      <c r="C45" s="763" t="s">
        <v>136</v>
      </c>
      <c r="D45" s="764"/>
      <c r="E45" s="15">
        <f>F45+G45</f>
        <v>14867400</v>
      </c>
      <c r="F45" s="15">
        <f>F46+F47+F48+F53+F54+F67</f>
        <v>6922500</v>
      </c>
      <c r="G45" s="15">
        <f>G46+G47+G48+G53+G54+G67</f>
        <v>7944900</v>
      </c>
      <c r="H45" s="510"/>
      <c r="I45" s="559"/>
      <c r="J45" s="510"/>
      <c r="K45" s="15">
        <f>K46+K47+K48+K53+K54+K67</f>
        <v>3390000</v>
      </c>
      <c r="L45" s="15">
        <f>L46+L47+L48+L53+L54+L67</f>
        <v>0</v>
      </c>
      <c r="M45" s="296">
        <f>M46+M47+M48+M53+M54+M67</f>
        <v>1622371.9800000002</v>
      </c>
      <c r="N45" s="296">
        <f>N46+N47+N48+N53+N54+N67</f>
        <v>9686911.0199999996</v>
      </c>
      <c r="O45" s="296">
        <f>M45*100/E45</f>
        <v>10.912277735178984</v>
      </c>
      <c r="P45" s="296">
        <f>P46+P47+P48+P53+P54+P67</f>
        <v>25617</v>
      </c>
      <c r="Q45" s="113"/>
    </row>
    <row r="46" spans="1:17" ht="63" x14ac:dyDescent="0.2">
      <c r="A46" s="51"/>
      <c r="B46" s="52"/>
      <c r="C46" s="52"/>
      <c r="D46" s="20" t="s">
        <v>137</v>
      </c>
      <c r="E46" s="26">
        <f>G46</f>
        <v>100000</v>
      </c>
      <c r="F46" s="26">
        <v>0</v>
      </c>
      <c r="G46" s="27">
        <v>100000</v>
      </c>
      <c r="H46" s="627" t="s">
        <v>401</v>
      </c>
      <c r="I46" s="561"/>
      <c r="J46" s="511"/>
      <c r="K46" s="27"/>
      <c r="L46" s="27"/>
      <c r="M46" s="298">
        <f>35500+55300</f>
        <v>90800</v>
      </c>
      <c r="N46" s="298">
        <f>G46-M46-P46</f>
        <v>0</v>
      </c>
      <c r="O46" s="298">
        <v>100</v>
      </c>
      <c r="P46" s="298">
        <v>9200</v>
      </c>
      <c r="Q46" s="112" t="s">
        <v>13</v>
      </c>
    </row>
    <row r="47" spans="1:17" ht="47.25" x14ac:dyDescent="0.2">
      <c r="A47" s="51"/>
      <c r="B47" s="52"/>
      <c r="C47" s="52"/>
      <c r="D47" s="20" t="s">
        <v>138</v>
      </c>
      <c r="E47" s="26">
        <f>G47</f>
        <v>300000</v>
      </c>
      <c r="F47" s="26">
        <v>0</v>
      </c>
      <c r="G47" s="27">
        <v>300000</v>
      </c>
      <c r="H47" s="627" t="s">
        <v>401</v>
      </c>
      <c r="I47" s="561"/>
      <c r="J47" s="511"/>
      <c r="K47" s="27"/>
      <c r="L47" s="27"/>
      <c r="M47" s="298">
        <f>27950+540+540+27940+90500+1260+28000+28000+1260+1000+24955+540+844+844+540+21730+540+27000-400-840+840-1260+1260</f>
        <v>283583</v>
      </c>
      <c r="N47" s="298">
        <f>G47-M47-P47</f>
        <v>0</v>
      </c>
      <c r="O47" s="298">
        <v>100</v>
      </c>
      <c r="P47" s="298">
        <v>16417</v>
      </c>
      <c r="Q47" s="112" t="s">
        <v>499</v>
      </c>
    </row>
    <row r="48" spans="1:17" ht="63" x14ac:dyDescent="0.2">
      <c r="A48" s="51"/>
      <c r="B48" s="52"/>
      <c r="C48" s="61"/>
      <c r="D48" s="20" t="s">
        <v>352</v>
      </c>
      <c r="E48" s="26">
        <f>F48+G48</f>
        <v>8003600</v>
      </c>
      <c r="F48" s="26">
        <f>F50+F49</f>
        <v>5000000</v>
      </c>
      <c r="G48" s="26">
        <f>G49+G50</f>
        <v>3003600</v>
      </c>
      <c r="H48" s="627" t="s">
        <v>361</v>
      </c>
      <c r="I48" s="563"/>
      <c r="J48" s="514"/>
      <c r="K48" s="26">
        <f t="shared" ref="K48:N48" si="10">K49+K50</f>
        <v>3000000</v>
      </c>
      <c r="L48" s="26">
        <f t="shared" si="10"/>
        <v>0</v>
      </c>
      <c r="M48" s="301">
        <f t="shared" si="10"/>
        <v>0</v>
      </c>
      <c r="N48" s="301">
        <f t="shared" si="10"/>
        <v>6003600</v>
      </c>
      <c r="O48" s="298">
        <f t="shared" ref="O48" si="11">M48*100/E48</f>
        <v>0</v>
      </c>
      <c r="P48" s="298"/>
      <c r="Q48" s="112" t="s">
        <v>14</v>
      </c>
    </row>
    <row r="49" spans="1:17" ht="20.25" customHeight="1" x14ac:dyDescent="0.2">
      <c r="A49" s="51"/>
      <c r="B49" s="52"/>
      <c r="C49" s="61"/>
      <c r="D49" s="20" t="s">
        <v>184</v>
      </c>
      <c r="E49" s="26"/>
      <c r="F49" s="62"/>
      <c r="G49" s="26">
        <v>3003600</v>
      </c>
      <c r="H49" s="514"/>
      <c r="I49" s="563"/>
      <c r="J49" s="514"/>
      <c r="K49" s="26"/>
      <c r="L49" s="26"/>
      <c r="M49" s="301">
        <v>0</v>
      </c>
      <c r="N49" s="301">
        <f>G49-M49</f>
        <v>3003600</v>
      </c>
      <c r="O49" s="301">
        <f>M49*100/G49</f>
        <v>0</v>
      </c>
      <c r="P49" s="301"/>
      <c r="Q49" s="112"/>
    </row>
    <row r="50" spans="1:17" ht="23.25" customHeight="1" x14ac:dyDescent="0.2">
      <c r="A50" s="51"/>
      <c r="B50" s="52"/>
      <c r="C50" s="61"/>
      <c r="D50" s="20" t="s">
        <v>265</v>
      </c>
      <c r="E50" s="26"/>
      <c r="F50" s="62">
        <f>F51+F52</f>
        <v>5000000</v>
      </c>
      <c r="G50" s="27">
        <f>G51+G52</f>
        <v>0</v>
      </c>
      <c r="H50" s="511"/>
      <c r="I50" s="561"/>
      <c r="J50" s="511"/>
      <c r="K50" s="27">
        <f t="shared" ref="K50:N50" si="12">K51+K52</f>
        <v>3000000</v>
      </c>
      <c r="L50" s="27">
        <f t="shared" si="12"/>
        <v>0</v>
      </c>
      <c r="M50" s="298">
        <f t="shared" si="12"/>
        <v>0</v>
      </c>
      <c r="N50" s="301">
        <f t="shared" si="12"/>
        <v>3000000</v>
      </c>
      <c r="O50" s="301">
        <v>0</v>
      </c>
      <c r="P50" s="301"/>
      <c r="Q50" s="112"/>
    </row>
    <row r="51" spans="1:17" ht="56.25" x14ac:dyDescent="0.2">
      <c r="A51" s="51"/>
      <c r="B51" s="52"/>
      <c r="C51" s="61"/>
      <c r="D51" s="20" t="s">
        <v>15</v>
      </c>
      <c r="E51" s="26">
        <f>F51</f>
        <v>3000000</v>
      </c>
      <c r="F51" s="62">
        <f>3331600-331600</f>
        <v>3000000</v>
      </c>
      <c r="G51" s="26">
        <v>0</v>
      </c>
      <c r="H51" s="628" t="s">
        <v>374</v>
      </c>
      <c r="I51" s="575" t="s">
        <v>455</v>
      </c>
      <c r="J51" s="651" t="s">
        <v>454</v>
      </c>
      <c r="K51" s="26">
        <v>3000000</v>
      </c>
      <c r="L51" s="26">
        <f>F51-K51</f>
        <v>0</v>
      </c>
      <c r="M51" s="301"/>
      <c r="N51" s="301">
        <f>K51-M51</f>
        <v>3000000</v>
      </c>
      <c r="O51" s="301">
        <f>M51*100/K51</f>
        <v>0</v>
      </c>
      <c r="P51" s="301"/>
      <c r="Q51" s="668" t="s">
        <v>14</v>
      </c>
    </row>
    <row r="52" spans="1:17" ht="56.25" x14ac:dyDescent="0.2">
      <c r="A52" s="51"/>
      <c r="B52" s="52"/>
      <c r="C52" s="61"/>
      <c r="D52" s="20" t="s">
        <v>300</v>
      </c>
      <c r="E52" s="26">
        <f>F52</f>
        <v>2000000</v>
      </c>
      <c r="F52" s="62">
        <v>2000000</v>
      </c>
      <c r="G52" s="26">
        <v>0</v>
      </c>
      <c r="H52" s="695" t="s">
        <v>505</v>
      </c>
      <c r="I52" s="567"/>
      <c r="J52" s="515"/>
      <c r="K52" s="26"/>
      <c r="L52" s="26"/>
      <c r="M52" s="301"/>
      <c r="N52" s="301">
        <f>K52-M52</f>
        <v>0</v>
      </c>
      <c r="O52" s="301">
        <v>0</v>
      </c>
      <c r="P52" s="301"/>
      <c r="Q52" s="668" t="s">
        <v>14</v>
      </c>
    </row>
    <row r="53" spans="1:17" ht="84" x14ac:dyDescent="0.2">
      <c r="A53" s="51"/>
      <c r="B53" s="52"/>
      <c r="C53" s="61"/>
      <c r="D53" s="20" t="s">
        <v>269</v>
      </c>
      <c r="E53" s="26">
        <f>G53</f>
        <v>901000</v>
      </c>
      <c r="F53" s="62">
        <v>0</v>
      </c>
      <c r="G53" s="26">
        <v>901000</v>
      </c>
      <c r="H53" s="627" t="s">
        <v>361</v>
      </c>
      <c r="I53" s="563"/>
      <c r="J53" s="514"/>
      <c r="K53" s="26"/>
      <c r="L53" s="26"/>
      <c r="M53" s="301">
        <f>21000+100000+77420</f>
        <v>198420</v>
      </c>
      <c r="N53" s="301">
        <f>G53-M53</f>
        <v>702580</v>
      </c>
      <c r="O53" s="301">
        <f>M53*100/G53</f>
        <v>22.022197558268591</v>
      </c>
      <c r="P53" s="301"/>
      <c r="Q53" s="112" t="s">
        <v>14</v>
      </c>
    </row>
    <row r="54" spans="1:17" ht="84" x14ac:dyDescent="0.2">
      <c r="A54" s="51"/>
      <c r="B54" s="52"/>
      <c r="C54" s="52"/>
      <c r="D54" s="20" t="s">
        <v>302</v>
      </c>
      <c r="E54" s="26">
        <f>F54+G54</f>
        <v>4499900</v>
      </c>
      <c r="F54" s="26">
        <f>F55+F60</f>
        <v>1922500</v>
      </c>
      <c r="G54" s="27">
        <f>G55+G60</f>
        <v>2577400</v>
      </c>
      <c r="H54" s="627" t="s">
        <v>361</v>
      </c>
      <c r="I54" s="561"/>
      <c r="J54" s="511"/>
      <c r="K54" s="27">
        <f>K55+K60</f>
        <v>390000</v>
      </c>
      <c r="L54" s="27">
        <f>L55+L60</f>
        <v>0</v>
      </c>
      <c r="M54" s="298">
        <f>M55+M60</f>
        <v>868328.98000000021</v>
      </c>
      <c r="N54" s="298">
        <f>N55+N60</f>
        <v>2099071.0199999996</v>
      </c>
      <c r="O54" s="298">
        <f>M54*100/E54</f>
        <v>19.296628369519325</v>
      </c>
      <c r="P54" s="298"/>
      <c r="Q54" s="112" t="s">
        <v>14</v>
      </c>
    </row>
    <row r="55" spans="1:17" ht="30.75" customHeight="1" x14ac:dyDescent="0.2">
      <c r="A55" s="51"/>
      <c r="B55" s="52"/>
      <c r="C55" s="52"/>
      <c r="D55" s="20" t="s">
        <v>184</v>
      </c>
      <c r="E55" s="26"/>
      <c r="F55" s="26"/>
      <c r="G55" s="27">
        <v>2577400</v>
      </c>
      <c r="H55" s="511"/>
      <c r="I55" s="561"/>
      <c r="J55" s="511"/>
      <c r="K55" s="27"/>
      <c r="L55" s="27"/>
      <c r="M55" s="298">
        <f>9000+9000+9000+9000+9000+8129.03+8129.03+9032.25+8419.35+7548.38+9000+9000+9000+9000+8700+7800+7800+8700+9000+10000+75420+8950+10368.5+13446.14+4500+9000+9000+9000+9000+8419.35+8129.03+8129.03+9000+8129.03+10000+75420+24096.08+40000+12700+43520+10130+3500+10200+14605.18+9000+9000+9000+8709.67+9000+8709.67+9000+7548.38+10000+11000+13319.47+9000+9000+9000+9000+8357.14+8035.71+8035.71+9000+7392.85+10000+9300+45000-1000+15000</f>
        <v>868328.98000000021</v>
      </c>
      <c r="N55" s="298">
        <f>G55-M55-P55</f>
        <v>1709071.0199999998</v>
      </c>
      <c r="O55" s="298">
        <f>M55*100/G55</f>
        <v>33.690113292465284</v>
      </c>
      <c r="P55" s="298">
        <v>0</v>
      </c>
      <c r="Q55" s="112"/>
    </row>
    <row r="56" spans="1:17" ht="37.5" hidden="1" x14ac:dyDescent="0.2">
      <c r="A56" s="57"/>
      <c r="B56" s="3"/>
      <c r="C56" s="3"/>
      <c r="D56" s="328" t="s">
        <v>279</v>
      </c>
      <c r="E56" s="329"/>
      <c r="F56" s="329"/>
      <c r="G56" s="327">
        <v>1400</v>
      </c>
      <c r="H56" s="516" t="s">
        <v>278</v>
      </c>
      <c r="I56" s="568"/>
      <c r="J56" s="544"/>
      <c r="K56" s="327"/>
      <c r="L56" s="327"/>
      <c r="M56" s="330"/>
      <c r="N56" s="330"/>
      <c r="O56" s="330"/>
      <c r="P56" s="302">
        <v>1400</v>
      </c>
      <c r="Q56" s="331" t="s">
        <v>21</v>
      </c>
    </row>
    <row r="57" spans="1:17" ht="42" hidden="1" x14ac:dyDescent="0.2">
      <c r="A57" s="57"/>
      <c r="B57" s="3"/>
      <c r="C57" s="3"/>
      <c r="D57" s="328" t="s">
        <v>283</v>
      </c>
      <c r="E57" s="329"/>
      <c r="F57" s="329"/>
      <c r="G57" s="327">
        <v>5670</v>
      </c>
      <c r="H57" s="516" t="s">
        <v>278</v>
      </c>
      <c r="I57" s="568"/>
      <c r="J57" s="544"/>
      <c r="K57" s="327"/>
      <c r="L57" s="327"/>
      <c r="M57" s="330"/>
      <c r="N57" s="330"/>
      <c r="O57" s="330"/>
      <c r="P57" s="302">
        <v>5670</v>
      </c>
      <c r="Q57" s="331" t="s">
        <v>21</v>
      </c>
    </row>
    <row r="58" spans="1:17" ht="35.25" hidden="1" customHeight="1" x14ac:dyDescent="0.2">
      <c r="A58" s="57"/>
      <c r="B58" s="3"/>
      <c r="C58" s="3"/>
      <c r="D58" s="328" t="s">
        <v>284</v>
      </c>
      <c r="E58" s="329"/>
      <c r="F58" s="329"/>
      <c r="G58" s="327">
        <v>9000</v>
      </c>
      <c r="H58" s="516" t="s">
        <v>278</v>
      </c>
      <c r="I58" s="568"/>
      <c r="J58" s="544"/>
      <c r="K58" s="327"/>
      <c r="L58" s="327"/>
      <c r="M58" s="330"/>
      <c r="N58" s="330"/>
      <c r="O58" s="330"/>
      <c r="P58" s="302">
        <v>9000</v>
      </c>
      <c r="Q58" s="331" t="s">
        <v>21</v>
      </c>
    </row>
    <row r="59" spans="1:17" ht="42" hidden="1" x14ac:dyDescent="0.2">
      <c r="A59" s="57"/>
      <c r="B59" s="3"/>
      <c r="C59" s="3"/>
      <c r="D59" s="328" t="s">
        <v>285</v>
      </c>
      <c r="E59" s="329"/>
      <c r="F59" s="329"/>
      <c r="G59" s="327">
        <v>105250</v>
      </c>
      <c r="H59" s="516" t="s">
        <v>278</v>
      </c>
      <c r="I59" s="568"/>
      <c r="J59" s="544"/>
      <c r="K59" s="327"/>
      <c r="L59" s="327"/>
      <c r="M59" s="330"/>
      <c r="N59" s="330"/>
      <c r="O59" s="330"/>
      <c r="P59" s="302">
        <v>105250</v>
      </c>
      <c r="Q59" s="331" t="s">
        <v>286</v>
      </c>
    </row>
    <row r="60" spans="1:17" ht="33" customHeight="1" x14ac:dyDescent="0.2">
      <c r="A60" s="47"/>
      <c r="B60" s="48"/>
      <c r="C60" s="48"/>
      <c r="D60" s="25" t="s">
        <v>265</v>
      </c>
      <c r="E60" s="21"/>
      <c r="F60" s="21">
        <f>F61+F62+F63+F65+F66+F64</f>
        <v>1922500</v>
      </c>
      <c r="G60" s="21">
        <f>G61+G62+G63+G65+G66</f>
        <v>0</v>
      </c>
      <c r="H60" s="517"/>
      <c r="I60" s="569"/>
      <c r="J60" s="517"/>
      <c r="K60" s="21">
        <f>K61+K62+K63+K65+K66</f>
        <v>390000</v>
      </c>
      <c r="L60" s="21">
        <f>L61+L62+L63+L65+L66</f>
        <v>0</v>
      </c>
      <c r="M60" s="316">
        <f>M61+M62+M63+M65+M66</f>
        <v>0</v>
      </c>
      <c r="N60" s="316">
        <f>N61+N62+N63+N65+N66</f>
        <v>390000</v>
      </c>
      <c r="O60" s="297">
        <f>M60*100/K60</f>
        <v>0</v>
      </c>
      <c r="P60" s="297"/>
      <c r="Q60" s="114"/>
    </row>
    <row r="61" spans="1:17" ht="56.25" x14ac:dyDescent="0.2">
      <c r="A61" s="51"/>
      <c r="B61" s="52"/>
      <c r="C61" s="52"/>
      <c r="D61" s="20" t="s">
        <v>16</v>
      </c>
      <c r="E61" s="342">
        <f t="shared" ref="E61:E66" si="13">F61</f>
        <v>341500</v>
      </c>
      <c r="F61" s="343">
        <v>341500</v>
      </c>
      <c r="G61" s="344">
        <v>0</v>
      </c>
      <c r="H61" s="518" t="s">
        <v>506</v>
      </c>
      <c r="I61" s="570"/>
      <c r="J61" s="545"/>
      <c r="K61" s="344"/>
      <c r="L61" s="344"/>
      <c r="M61" s="314"/>
      <c r="N61" s="314">
        <f>K61-M61</f>
        <v>0</v>
      </c>
      <c r="O61" s="298">
        <v>0</v>
      </c>
      <c r="P61" s="298"/>
      <c r="Q61" s="112" t="s">
        <v>39</v>
      </c>
    </row>
    <row r="62" spans="1:17" ht="56.25" x14ac:dyDescent="0.2">
      <c r="A62" s="51"/>
      <c r="B62" s="52"/>
      <c r="C62" s="52"/>
      <c r="D62" s="20" t="s">
        <v>482</v>
      </c>
      <c r="E62" s="342">
        <f t="shared" si="13"/>
        <v>147000</v>
      </c>
      <c r="F62" s="343">
        <v>147000</v>
      </c>
      <c r="G62" s="344">
        <v>0</v>
      </c>
      <c r="H62" s="518" t="s">
        <v>506</v>
      </c>
      <c r="I62" s="570"/>
      <c r="J62" s="545"/>
      <c r="K62" s="344"/>
      <c r="L62" s="344"/>
      <c r="M62" s="314"/>
      <c r="N62" s="314">
        <f t="shared" ref="N62:N66" si="14">K62-M62</f>
        <v>0</v>
      </c>
      <c r="O62" s="626">
        <v>0</v>
      </c>
      <c r="P62" s="298"/>
      <c r="Q62" s="112" t="s">
        <v>39</v>
      </c>
    </row>
    <row r="63" spans="1:17" ht="37.5" x14ac:dyDescent="0.2">
      <c r="A63" s="51"/>
      <c r="B63" s="52"/>
      <c r="C63" s="52"/>
      <c r="D63" s="20" t="s">
        <v>18</v>
      </c>
      <c r="E63" s="342">
        <f t="shared" si="13"/>
        <v>492000</v>
      </c>
      <c r="F63" s="343">
        <v>492000</v>
      </c>
      <c r="G63" s="344">
        <v>0</v>
      </c>
      <c r="H63" s="628" t="s">
        <v>501</v>
      </c>
      <c r="I63" s="570"/>
      <c r="J63" s="545"/>
      <c r="K63" s="344"/>
      <c r="L63" s="344"/>
      <c r="M63" s="314"/>
      <c r="N63" s="314">
        <f t="shared" si="14"/>
        <v>0</v>
      </c>
      <c r="O63" s="626">
        <v>0</v>
      </c>
      <c r="P63" s="298"/>
      <c r="Q63" s="332" t="s">
        <v>25</v>
      </c>
    </row>
    <row r="64" spans="1:17" hidden="1" x14ac:dyDescent="0.2">
      <c r="A64" s="47"/>
      <c r="B64" s="48"/>
      <c r="C64" s="48"/>
      <c r="D64" s="25"/>
      <c r="E64" s="341">
        <f t="shared" si="13"/>
        <v>102000</v>
      </c>
      <c r="F64" s="64">
        <v>102000</v>
      </c>
      <c r="G64" s="65"/>
      <c r="H64" s="628"/>
      <c r="I64" s="570"/>
      <c r="J64" s="545"/>
      <c r="K64" s="65"/>
      <c r="L64" s="65"/>
      <c r="M64" s="315"/>
      <c r="N64" s="314"/>
      <c r="O64" s="626"/>
      <c r="P64" s="297"/>
      <c r="Q64" s="345"/>
    </row>
    <row r="65" spans="1:18" ht="51.75" x14ac:dyDescent="0.2">
      <c r="A65" s="47"/>
      <c r="B65" s="48"/>
      <c r="C65" s="48"/>
      <c r="D65" s="25" t="s">
        <v>19</v>
      </c>
      <c r="E65" s="341">
        <f t="shared" si="13"/>
        <v>390000</v>
      </c>
      <c r="F65" s="64">
        <f>396000-6000</f>
        <v>390000</v>
      </c>
      <c r="G65" s="65">
        <v>0</v>
      </c>
      <c r="H65" s="628" t="s">
        <v>374</v>
      </c>
      <c r="I65" s="575" t="s">
        <v>427</v>
      </c>
      <c r="J65" s="619" t="s">
        <v>428</v>
      </c>
      <c r="K65" s="65">
        <v>390000</v>
      </c>
      <c r="L65" s="65">
        <f>F65-K65</f>
        <v>0</v>
      </c>
      <c r="M65" s="315"/>
      <c r="N65" s="314">
        <f t="shared" si="14"/>
        <v>390000</v>
      </c>
      <c r="O65" s="626">
        <f t="shared" ref="O65" si="15">M65*100/K65</f>
        <v>0</v>
      </c>
      <c r="P65" s="297"/>
      <c r="Q65" s="345" t="s">
        <v>25</v>
      </c>
    </row>
    <row r="66" spans="1:18" ht="56.25" x14ac:dyDescent="0.2">
      <c r="A66" s="47"/>
      <c r="B66" s="48"/>
      <c r="C66" s="48"/>
      <c r="D66" s="25" t="s">
        <v>20</v>
      </c>
      <c r="E66" s="341">
        <f t="shared" si="13"/>
        <v>450000</v>
      </c>
      <c r="F66" s="64">
        <v>450000</v>
      </c>
      <c r="G66" s="65">
        <v>0</v>
      </c>
      <c r="H66" s="518" t="s">
        <v>506</v>
      </c>
      <c r="I66" s="571"/>
      <c r="J66" s="546"/>
      <c r="K66" s="65"/>
      <c r="L66" s="65"/>
      <c r="M66" s="315"/>
      <c r="N66" s="314">
        <f t="shared" si="14"/>
        <v>0</v>
      </c>
      <c r="O66" s="626">
        <v>0</v>
      </c>
      <c r="P66" s="297"/>
      <c r="Q66" s="112" t="s">
        <v>39</v>
      </c>
    </row>
    <row r="67" spans="1:18" ht="37.5" x14ac:dyDescent="0.2">
      <c r="A67" s="51"/>
      <c r="B67" s="52"/>
      <c r="C67" s="52"/>
      <c r="D67" s="20" t="s">
        <v>140</v>
      </c>
      <c r="E67" s="26">
        <f>G67</f>
        <v>1062900</v>
      </c>
      <c r="F67" s="26">
        <v>0</v>
      </c>
      <c r="G67" s="27">
        <v>1062900</v>
      </c>
      <c r="H67" s="627" t="s">
        <v>361</v>
      </c>
      <c r="I67" s="561"/>
      <c r="J67" s="511"/>
      <c r="K67" s="27"/>
      <c r="L67" s="27"/>
      <c r="M67" s="298">
        <f>65600+57400+58240</f>
        <v>181240</v>
      </c>
      <c r="N67" s="298">
        <f>G67-M67</f>
        <v>881660</v>
      </c>
      <c r="O67" s="298">
        <f t="shared" ref="O67:O70" si="16">M67*100/G67</f>
        <v>17.051462978643336</v>
      </c>
      <c r="P67" s="298"/>
      <c r="Q67" s="112" t="s">
        <v>21</v>
      </c>
    </row>
    <row r="68" spans="1:18" s="11" customFormat="1" ht="33" customHeight="1" x14ac:dyDescent="0.2">
      <c r="A68" s="28"/>
      <c r="B68" s="29"/>
      <c r="C68" s="763" t="s">
        <v>139</v>
      </c>
      <c r="D68" s="764"/>
      <c r="E68" s="46">
        <f>E69+E70</f>
        <v>14230000</v>
      </c>
      <c r="F68" s="46">
        <f>F69+F70</f>
        <v>0</v>
      </c>
      <c r="G68" s="46">
        <f>G69+G70</f>
        <v>14230000</v>
      </c>
      <c r="H68" s="512"/>
      <c r="I68" s="565"/>
      <c r="J68" s="512"/>
      <c r="K68" s="46">
        <f t="shared" ref="K68:P68" si="17">K69+K70</f>
        <v>0</v>
      </c>
      <c r="L68" s="46">
        <f t="shared" si="17"/>
        <v>0</v>
      </c>
      <c r="M68" s="299">
        <f t="shared" si="17"/>
        <v>217440</v>
      </c>
      <c r="N68" s="299">
        <f t="shared" si="17"/>
        <v>14012560</v>
      </c>
      <c r="O68" s="299">
        <f t="shared" si="16"/>
        <v>1.5280393534785663</v>
      </c>
      <c r="P68" s="299">
        <f t="shared" si="17"/>
        <v>0</v>
      </c>
      <c r="Q68" s="113"/>
    </row>
    <row r="69" spans="1:18" s="11" customFormat="1" ht="37.5" x14ac:dyDescent="0.2">
      <c r="A69" s="17"/>
      <c r="B69" s="18"/>
      <c r="C69" s="19"/>
      <c r="D69" s="20" t="s">
        <v>141</v>
      </c>
      <c r="E69" s="66">
        <f>G69</f>
        <v>13750000</v>
      </c>
      <c r="F69" s="66">
        <v>0</v>
      </c>
      <c r="G69" s="67">
        <v>13750000</v>
      </c>
      <c r="H69" s="537" t="s">
        <v>466</v>
      </c>
      <c r="I69" s="572"/>
      <c r="J69" s="519"/>
      <c r="K69" s="67"/>
      <c r="L69" s="67"/>
      <c r="M69" s="304"/>
      <c r="N69" s="304">
        <f>G69-M69</f>
        <v>13750000</v>
      </c>
      <c r="O69" s="304">
        <f t="shared" si="16"/>
        <v>0</v>
      </c>
      <c r="P69" s="304"/>
      <c r="Q69" s="112" t="s">
        <v>22</v>
      </c>
    </row>
    <row r="70" spans="1:18" s="11" customFormat="1" ht="42" x14ac:dyDescent="0.2">
      <c r="A70" s="17"/>
      <c r="B70" s="18"/>
      <c r="C70" s="19"/>
      <c r="D70" s="20" t="s">
        <v>341</v>
      </c>
      <c r="E70" s="66">
        <f>G70</f>
        <v>480000</v>
      </c>
      <c r="F70" s="66">
        <v>0</v>
      </c>
      <c r="G70" s="67">
        <v>480000</v>
      </c>
      <c r="H70" s="627" t="s">
        <v>361</v>
      </c>
      <c r="I70" s="572"/>
      <c r="J70" s="519"/>
      <c r="K70" s="67"/>
      <c r="L70" s="67"/>
      <c r="M70" s="304">
        <f>47200+8480+164560-2800</f>
        <v>217440</v>
      </c>
      <c r="N70" s="304">
        <f>G70-M70</f>
        <v>262560</v>
      </c>
      <c r="O70" s="304">
        <f t="shared" si="16"/>
        <v>45.3</v>
      </c>
      <c r="P70" s="304"/>
      <c r="Q70" s="112" t="s">
        <v>14</v>
      </c>
    </row>
    <row r="71" spans="1:18" s="11" customFormat="1" ht="30.75" customHeight="1" x14ac:dyDescent="0.2">
      <c r="A71" s="44"/>
      <c r="B71" s="761" t="s">
        <v>142</v>
      </c>
      <c r="C71" s="761"/>
      <c r="D71" s="762"/>
      <c r="E71" s="50">
        <f>F71+G71</f>
        <v>950000</v>
      </c>
      <c r="F71" s="50">
        <f>F72</f>
        <v>0</v>
      </c>
      <c r="G71" s="50">
        <f>G72</f>
        <v>950000</v>
      </c>
      <c r="H71" s="513"/>
      <c r="I71" s="566"/>
      <c r="J71" s="513"/>
      <c r="K71" s="50">
        <f t="shared" ref="K71:P71" si="18">K72</f>
        <v>0</v>
      </c>
      <c r="L71" s="50">
        <f t="shared" si="18"/>
        <v>0</v>
      </c>
      <c r="M71" s="300">
        <f t="shared" si="18"/>
        <v>797480</v>
      </c>
      <c r="N71" s="300">
        <f t="shared" si="18"/>
        <v>0</v>
      </c>
      <c r="O71" s="300">
        <v>100</v>
      </c>
      <c r="P71" s="300">
        <f t="shared" si="18"/>
        <v>152520</v>
      </c>
      <c r="Q71" s="117"/>
    </row>
    <row r="72" spans="1:18" s="11" customFormat="1" ht="32.25" customHeight="1" x14ac:dyDescent="0.2">
      <c r="A72" s="40"/>
      <c r="B72" s="41"/>
      <c r="C72" s="765" t="s">
        <v>143</v>
      </c>
      <c r="D72" s="766"/>
      <c r="E72" s="68">
        <f>F72+G72</f>
        <v>950000</v>
      </c>
      <c r="F72" s="68">
        <f>F73+F74+F75</f>
        <v>0</v>
      </c>
      <c r="G72" s="68">
        <f>G73+G74+G75</f>
        <v>950000</v>
      </c>
      <c r="H72" s="510"/>
      <c r="I72" s="573"/>
      <c r="J72" s="532"/>
      <c r="K72" s="68">
        <f t="shared" ref="K72:P72" si="19">K73+K74+K75</f>
        <v>0</v>
      </c>
      <c r="L72" s="68">
        <f t="shared" si="19"/>
        <v>0</v>
      </c>
      <c r="M72" s="305">
        <f t="shared" si="19"/>
        <v>797480</v>
      </c>
      <c r="N72" s="305">
        <f t="shared" si="19"/>
        <v>0</v>
      </c>
      <c r="O72" s="305">
        <v>100</v>
      </c>
      <c r="P72" s="305">
        <f t="shared" si="19"/>
        <v>152520</v>
      </c>
      <c r="Q72" s="119"/>
    </row>
    <row r="73" spans="1:18" ht="51" customHeight="1" x14ac:dyDescent="0.2">
      <c r="A73" s="53"/>
      <c r="B73" s="54"/>
      <c r="C73" s="54"/>
      <c r="D73" s="55" t="s">
        <v>144</v>
      </c>
      <c r="E73" s="69">
        <f>G73</f>
        <v>100000</v>
      </c>
      <c r="F73" s="69">
        <v>0</v>
      </c>
      <c r="G73" s="70">
        <v>100000</v>
      </c>
      <c r="H73" s="627" t="s">
        <v>401</v>
      </c>
      <c r="I73" s="574"/>
      <c r="J73" s="529"/>
      <c r="K73" s="71"/>
      <c r="L73" s="71"/>
      <c r="M73" s="306">
        <f>25700+30600+41180</f>
        <v>97480</v>
      </c>
      <c r="N73" s="306">
        <f>G73-M73-P73</f>
        <v>0</v>
      </c>
      <c r="O73" s="306">
        <v>100</v>
      </c>
      <c r="P73" s="306">
        <v>2520</v>
      </c>
      <c r="Q73" s="120" t="s">
        <v>266</v>
      </c>
    </row>
    <row r="74" spans="1:18" ht="31.5" x14ac:dyDescent="0.2">
      <c r="A74" s="51"/>
      <c r="B74" s="52"/>
      <c r="C74" s="52"/>
      <c r="D74" s="20" t="s">
        <v>145</v>
      </c>
      <c r="E74" s="69">
        <f>G74</f>
        <v>750000</v>
      </c>
      <c r="F74" s="26">
        <v>0</v>
      </c>
      <c r="G74" s="27">
        <v>750000</v>
      </c>
      <c r="H74" s="627" t="s">
        <v>401</v>
      </c>
      <c r="I74" s="561"/>
      <c r="J74" s="511"/>
      <c r="K74" s="27"/>
      <c r="L74" s="27"/>
      <c r="M74" s="298">
        <f>600000</f>
        <v>600000</v>
      </c>
      <c r="N74" s="306">
        <f>G74-M74-P74</f>
        <v>0</v>
      </c>
      <c r="O74" s="306">
        <v>100</v>
      </c>
      <c r="P74" s="306">
        <v>150000</v>
      </c>
      <c r="Q74" s="121" t="s">
        <v>23</v>
      </c>
    </row>
    <row r="75" spans="1:18" ht="31.5" x14ac:dyDescent="0.2">
      <c r="A75" s="51"/>
      <c r="B75" s="52"/>
      <c r="C75" s="52"/>
      <c r="D75" s="20" t="s">
        <v>146</v>
      </c>
      <c r="E75" s="26">
        <f>G75</f>
        <v>100000</v>
      </c>
      <c r="F75" s="26">
        <v>0</v>
      </c>
      <c r="G75" s="27">
        <v>100000</v>
      </c>
      <c r="H75" s="627" t="s">
        <v>401</v>
      </c>
      <c r="I75" s="561"/>
      <c r="J75" s="511"/>
      <c r="K75" s="27"/>
      <c r="L75" s="27"/>
      <c r="M75" s="298">
        <f>48000+52000</f>
        <v>100000</v>
      </c>
      <c r="N75" s="298">
        <f t="shared" ref="N75" si="20">G75-M75</f>
        <v>0</v>
      </c>
      <c r="O75" s="298">
        <f t="shared" ref="O75" si="21">M75*100/G75</f>
        <v>100</v>
      </c>
      <c r="P75" s="298"/>
      <c r="Q75" s="121" t="s">
        <v>23</v>
      </c>
    </row>
    <row r="76" spans="1:18" s="11" customFormat="1" ht="25.5" customHeight="1" x14ac:dyDescent="0.2">
      <c r="A76" s="44"/>
      <c r="B76" s="761" t="s">
        <v>147</v>
      </c>
      <c r="C76" s="761"/>
      <c r="D76" s="762"/>
      <c r="E76" s="72">
        <f>F76+G76</f>
        <v>35265200</v>
      </c>
      <c r="F76" s="50">
        <f>F77+F82+F90</f>
        <v>35265200</v>
      </c>
      <c r="G76" s="50">
        <f>G77+G82+G90</f>
        <v>0</v>
      </c>
      <c r="H76" s="513"/>
      <c r="I76" s="566"/>
      <c r="J76" s="513"/>
      <c r="K76" s="50">
        <f t="shared" ref="K76:P76" si="22">K77+K82+K90</f>
        <v>31665100</v>
      </c>
      <c r="L76" s="50">
        <f t="shared" si="22"/>
        <v>0</v>
      </c>
      <c r="M76" s="300">
        <f t="shared" si="22"/>
        <v>11397849.780000001</v>
      </c>
      <c r="N76" s="324">
        <f t="shared" si="22"/>
        <v>20175467.34</v>
      </c>
      <c r="O76" s="324">
        <f>M76*100/K76</f>
        <v>35.994990636378851</v>
      </c>
      <c r="P76" s="324">
        <f t="shared" si="22"/>
        <v>91782.88</v>
      </c>
      <c r="Q76" s="117"/>
    </row>
    <row r="77" spans="1:18" s="11" customFormat="1" x14ac:dyDescent="0.2">
      <c r="A77" s="28"/>
      <c r="B77" s="29"/>
      <c r="C77" s="763" t="s">
        <v>148</v>
      </c>
      <c r="D77" s="764"/>
      <c r="E77" s="15">
        <f>F77+G77</f>
        <v>11644600</v>
      </c>
      <c r="F77" s="15">
        <f>F78+F79+F80+F81</f>
        <v>11644600</v>
      </c>
      <c r="G77" s="15">
        <f>G78+G79+G80+G81</f>
        <v>0</v>
      </c>
      <c r="H77" s="510"/>
      <c r="I77" s="559"/>
      <c r="J77" s="510"/>
      <c r="K77" s="15">
        <f t="shared" ref="K77:P77" si="23">K78+K79+K80+K81</f>
        <v>8781000</v>
      </c>
      <c r="L77" s="15">
        <f t="shared" si="23"/>
        <v>0</v>
      </c>
      <c r="M77" s="296">
        <f t="shared" si="23"/>
        <v>4472869</v>
      </c>
      <c r="N77" s="296">
        <f t="shared" si="23"/>
        <v>4275000</v>
      </c>
      <c r="O77" s="296">
        <f>M77*100/K77</f>
        <v>50.938036670083136</v>
      </c>
      <c r="P77" s="296">
        <f t="shared" si="23"/>
        <v>33131</v>
      </c>
      <c r="Q77" s="113"/>
    </row>
    <row r="78" spans="1:18" s="9" customFormat="1" ht="66" customHeight="1" x14ac:dyDescent="0.2">
      <c r="A78" s="73"/>
      <c r="B78" s="74"/>
      <c r="C78" s="75"/>
      <c r="D78" s="25" t="s">
        <v>270</v>
      </c>
      <c r="E78" s="21">
        <f>F78</f>
        <v>2863600</v>
      </c>
      <c r="F78" s="356">
        <v>2863600</v>
      </c>
      <c r="G78" s="22">
        <v>0</v>
      </c>
      <c r="H78" s="520" t="s">
        <v>278</v>
      </c>
      <c r="I78" s="560"/>
      <c r="J78" s="530"/>
      <c r="K78" s="22"/>
      <c r="L78" s="22"/>
      <c r="M78" s="297"/>
      <c r="N78" s="297">
        <v>0</v>
      </c>
      <c r="O78" s="297">
        <v>0</v>
      </c>
      <c r="P78" s="297"/>
      <c r="Q78" s="115" t="s">
        <v>24</v>
      </c>
      <c r="R78" s="615">
        <f>F76-F78</f>
        <v>32401600</v>
      </c>
    </row>
    <row r="79" spans="1:18" s="9" customFormat="1" ht="63" x14ac:dyDescent="0.2">
      <c r="A79" s="38"/>
      <c r="B79" s="39"/>
      <c r="C79" s="76"/>
      <c r="D79" s="20" t="s">
        <v>271</v>
      </c>
      <c r="E79" s="21">
        <f>F79</f>
        <v>4275000</v>
      </c>
      <c r="F79" s="26">
        <f>4684400-409400</f>
        <v>4275000</v>
      </c>
      <c r="G79" s="27">
        <v>0</v>
      </c>
      <c r="H79" s="521" t="s">
        <v>374</v>
      </c>
      <c r="I79" s="575" t="s">
        <v>398</v>
      </c>
      <c r="J79" s="547" t="s">
        <v>318</v>
      </c>
      <c r="K79" s="27">
        <v>4275000</v>
      </c>
      <c r="L79" s="27">
        <f>F79-K79</f>
        <v>0</v>
      </c>
      <c r="M79" s="298"/>
      <c r="N79" s="297">
        <f>K79-M79</f>
        <v>4275000</v>
      </c>
      <c r="O79" s="297">
        <f>M79*100/K79</f>
        <v>0</v>
      </c>
      <c r="P79" s="297"/>
      <c r="Q79" s="112" t="s">
        <v>25</v>
      </c>
      <c r="R79" s="616">
        <f>L76*100/R78</f>
        <v>0</v>
      </c>
    </row>
    <row r="80" spans="1:18" s="79" customFormat="1" ht="63" x14ac:dyDescent="0.2">
      <c r="A80" s="77"/>
      <c r="B80" s="61"/>
      <c r="C80" s="61"/>
      <c r="D80" s="78" t="s">
        <v>272</v>
      </c>
      <c r="E80" s="21">
        <f>F80</f>
        <v>2129000</v>
      </c>
      <c r="F80" s="26">
        <f>3381000-954700-297300</f>
        <v>2129000</v>
      </c>
      <c r="G80" s="22">
        <v>0</v>
      </c>
      <c r="H80" s="521" t="s">
        <v>401</v>
      </c>
      <c r="I80" s="575" t="s">
        <v>397</v>
      </c>
      <c r="J80" s="548" t="s">
        <v>320</v>
      </c>
      <c r="K80" s="22">
        <v>2129000</v>
      </c>
      <c r="L80" s="27">
        <f>F80-K80</f>
        <v>0</v>
      </c>
      <c r="M80" s="297">
        <v>2095869</v>
      </c>
      <c r="N80" s="297">
        <f>K80-M80-P80</f>
        <v>0</v>
      </c>
      <c r="O80" s="297">
        <v>100</v>
      </c>
      <c r="P80" s="297">
        <v>33131</v>
      </c>
      <c r="Q80" s="115" t="s">
        <v>24</v>
      </c>
      <c r="R80" s="617">
        <f>L76*100/E7</f>
        <v>0</v>
      </c>
    </row>
    <row r="81" spans="1:17" s="79" customFormat="1" ht="63" x14ac:dyDescent="0.2">
      <c r="A81" s="77"/>
      <c r="B81" s="61"/>
      <c r="C81" s="61"/>
      <c r="D81" s="78" t="s">
        <v>273</v>
      </c>
      <c r="E81" s="21">
        <f>F81</f>
        <v>2377000</v>
      </c>
      <c r="F81" s="26">
        <f>2476500-99500</f>
        <v>2377000</v>
      </c>
      <c r="G81" s="27">
        <v>0</v>
      </c>
      <c r="H81" s="521" t="s">
        <v>401</v>
      </c>
      <c r="I81" s="575" t="s">
        <v>396</v>
      </c>
      <c r="J81" s="547" t="s">
        <v>322</v>
      </c>
      <c r="K81" s="27">
        <v>2377000</v>
      </c>
      <c r="L81" s="27">
        <f>F81-K81</f>
        <v>0</v>
      </c>
      <c r="M81" s="298">
        <v>2377000</v>
      </c>
      <c r="N81" s="297">
        <f>K81-M81</f>
        <v>0</v>
      </c>
      <c r="O81" s="297">
        <f t="shared" ref="O81" si="24">M81*100/K81</f>
        <v>100</v>
      </c>
      <c r="P81" s="297"/>
      <c r="Q81" s="115" t="s">
        <v>27</v>
      </c>
    </row>
    <row r="82" spans="1:17" s="9" customFormat="1" ht="42.75" customHeight="1" x14ac:dyDescent="0.2">
      <c r="A82" s="28"/>
      <c r="B82" s="29"/>
      <c r="C82" s="763" t="s">
        <v>149</v>
      </c>
      <c r="D82" s="764"/>
      <c r="E82" s="15">
        <f>F82+G82</f>
        <v>17488000</v>
      </c>
      <c r="F82" s="15">
        <f>F83+F84+F85+F86+F87+F88+F89</f>
        <v>17488000</v>
      </c>
      <c r="G82" s="15">
        <f>G83+G84+G85+G86+G87+G88+G89</f>
        <v>0</v>
      </c>
      <c r="H82" s="510"/>
      <c r="I82" s="559"/>
      <c r="J82" s="510"/>
      <c r="K82" s="15">
        <f t="shared" ref="K82:P82" si="25">K83+K84+K85+K86+K87+K88+K89</f>
        <v>17488000</v>
      </c>
      <c r="L82" s="15">
        <f t="shared" si="25"/>
        <v>0</v>
      </c>
      <c r="M82" s="296">
        <f t="shared" si="25"/>
        <v>6074180.7800000003</v>
      </c>
      <c r="N82" s="296">
        <f t="shared" si="25"/>
        <v>11355167.34</v>
      </c>
      <c r="O82" s="296">
        <f>M82*100/K82</f>
        <v>34.733421660567245</v>
      </c>
      <c r="P82" s="296">
        <f t="shared" si="25"/>
        <v>58651.88</v>
      </c>
      <c r="Q82" s="113"/>
    </row>
    <row r="83" spans="1:17" s="79" customFormat="1" ht="60.75" customHeight="1" x14ac:dyDescent="0.2">
      <c r="A83" s="80"/>
      <c r="B83" s="59"/>
      <c r="C83" s="59"/>
      <c r="D83" s="25" t="s">
        <v>253</v>
      </c>
      <c r="E83" s="26">
        <f>F83</f>
        <v>2390000</v>
      </c>
      <c r="F83" s="26">
        <f>2401000-11000</f>
        <v>2390000</v>
      </c>
      <c r="G83" s="27">
        <v>0</v>
      </c>
      <c r="H83" s="521" t="s">
        <v>374</v>
      </c>
      <c r="I83" s="575" t="s">
        <v>395</v>
      </c>
      <c r="J83" s="548" t="s">
        <v>324</v>
      </c>
      <c r="K83" s="27">
        <v>2390000</v>
      </c>
      <c r="L83" s="27">
        <f>F83-K83</f>
        <v>0</v>
      </c>
      <c r="M83" s="298"/>
      <c r="N83" s="298">
        <f>F83-M83</f>
        <v>2390000</v>
      </c>
      <c r="O83" s="298">
        <f>M83*100/K83</f>
        <v>0</v>
      </c>
      <c r="P83" s="298"/>
      <c r="Q83" s="122" t="s">
        <v>28</v>
      </c>
    </row>
    <row r="84" spans="1:17" s="79" customFormat="1" ht="69" x14ac:dyDescent="0.2">
      <c r="A84" s="77"/>
      <c r="B84" s="61"/>
      <c r="C84" s="61"/>
      <c r="D84" s="78" t="s">
        <v>274</v>
      </c>
      <c r="E84" s="26">
        <f t="shared" ref="E84:E89" si="26">F84</f>
        <v>2303000</v>
      </c>
      <c r="F84" s="26">
        <v>2303000</v>
      </c>
      <c r="G84" s="22">
        <v>0</v>
      </c>
      <c r="H84" s="521" t="s">
        <v>374</v>
      </c>
      <c r="I84" s="575" t="s">
        <v>489</v>
      </c>
      <c r="J84" s="548" t="s">
        <v>324</v>
      </c>
      <c r="K84" s="22">
        <v>2303000</v>
      </c>
      <c r="L84" s="27">
        <f>F84-K84</f>
        <v>0</v>
      </c>
      <c r="M84" s="297"/>
      <c r="N84" s="298">
        <f t="shared" ref="N84:N89" si="27">F84-M84</f>
        <v>2303000</v>
      </c>
      <c r="O84" s="298">
        <f t="shared" ref="O84:O89" si="28">M84*100/K84</f>
        <v>0</v>
      </c>
      <c r="P84" s="297"/>
      <c r="Q84" s="123" t="s">
        <v>26</v>
      </c>
    </row>
    <row r="85" spans="1:17" s="79" customFormat="1" ht="63" customHeight="1" x14ac:dyDescent="0.2">
      <c r="A85" s="77"/>
      <c r="B85" s="61"/>
      <c r="C85" s="61"/>
      <c r="D85" s="81" t="s">
        <v>385</v>
      </c>
      <c r="E85" s="26">
        <f t="shared" si="26"/>
        <v>2390000</v>
      </c>
      <c r="F85" s="82">
        <f>2401000-11000</f>
        <v>2390000</v>
      </c>
      <c r="G85" s="83">
        <v>0</v>
      </c>
      <c r="H85" s="521" t="s">
        <v>401</v>
      </c>
      <c r="I85" s="575" t="s">
        <v>395</v>
      </c>
      <c r="J85" s="548" t="s">
        <v>324</v>
      </c>
      <c r="K85" s="83">
        <v>2390000</v>
      </c>
      <c r="L85" s="27">
        <f t="shared" ref="L85:L89" si="29">F85-K85</f>
        <v>0</v>
      </c>
      <c r="M85" s="314">
        <v>2331348.12</v>
      </c>
      <c r="N85" s="298">
        <v>0</v>
      </c>
      <c r="O85" s="298">
        <v>100</v>
      </c>
      <c r="P85" s="298">
        <v>58651.88</v>
      </c>
      <c r="Q85" s="122" t="s">
        <v>28</v>
      </c>
    </row>
    <row r="86" spans="1:17" s="79" customFormat="1" ht="72" customHeight="1" x14ac:dyDescent="0.2">
      <c r="A86" s="77"/>
      <c r="B86" s="61"/>
      <c r="C86" s="61"/>
      <c r="D86" s="81" t="s">
        <v>452</v>
      </c>
      <c r="E86" s="26">
        <f t="shared" si="26"/>
        <v>2390000</v>
      </c>
      <c r="F86" s="26">
        <f>2401000-11000</f>
        <v>2390000</v>
      </c>
      <c r="G86" s="27">
        <v>0</v>
      </c>
      <c r="H86" s="521" t="s">
        <v>374</v>
      </c>
      <c r="I86" s="575" t="s">
        <v>330</v>
      </c>
      <c r="J86" s="548" t="s">
        <v>324</v>
      </c>
      <c r="K86" s="83">
        <v>2390000</v>
      </c>
      <c r="L86" s="27">
        <f t="shared" si="29"/>
        <v>0</v>
      </c>
      <c r="M86" s="298"/>
      <c r="N86" s="298">
        <f t="shared" si="27"/>
        <v>2390000</v>
      </c>
      <c r="O86" s="298">
        <f t="shared" si="28"/>
        <v>0</v>
      </c>
      <c r="P86" s="298"/>
      <c r="Q86" s="122" t="s">
        <v>28</v>
      </c>
    </row>
    <row r="87" spans="1:17" s="79" customFormat="1" ht="69" x14ac:dyDescent="0.2">
      <c r="A87" s="77"/>
      <c r="B87" s="61"/>
      <c r="C87" s="61"/>
      <c r="D87" s="78" t="s">
        <v>275</v>
      </c>
      <c r="E87" s="26">
        <f t="shared" si="26"/>
        <v>2790000</v>
      </c>
      <c r="F87" s="26">
        <f>3724000-934000</f>
        <v>2790000</v>
      </c>
      <c r="G87" s="22">
        <v>0</v>
      </c>
      <c r="H87" s="521" t="s">
        <v>374</v>
      </c>
      <c r="I87" s="575" t="s">
        <v>496</v>
      </c>
      <c r="J87" s="548" t="s">
        <v>324</v>
      </c>
      <c r="K87" s="22">
        <v>2790000</v>
      </c>
      <c r="L87" s="27">
        <f t="shared" si="29"/>
        <v>0</v>
      </c>
      <c r="M87" s="297"/>
      <c r="N87" s="298">
        <f t="shared" si="27"/>
        <v>2790000</v>
      </c>
      <c r="O87" s="298">
        <f t="shared" si="28"/>
        <v>0</v>
      </c>
      <c r="P87" s="297"/>
      <c r="Q87" s="123" t="s">
        <v>25</v>
      </c>
    </row>
    <row r="88" spans="1:17" s="79" customFormat="1" ht="63" customHeight="1" x14ac:dyDescent="0.2">
      <c r="A88" s="77"/>
      <c r="B88" s="61"/>
      <c r="C88" s="61"/>
      <c r="D88" s="81" t="s">
        <v>195</v>
      </c>
      <c r="E88" s="26">
        <f t="shared" si="26"/>
        <v>2390000</v>
      </c>
      <c r="F88" s="26">
        <f>2401000-11000</f>
        <v>2390000</v>
      </c>
      <c r="G88" s="27">
        <v>0</v>
      </c>
      <c r="H88" s="521" t="s">
        <v>401</v>
      </c>
      <c r="I88" s="575" t="s">
        <v>395</v>
      </c>
      <c r="J88" s="547" t="s">
        <v>324</v>
      </c>
      <c r="K88" s="83">
        <v>2390000</v>
      </c>
      <c r="L88" s="27">
        <f t="shared" si="29"/>
        <v>0</v>
      </c>
      <c r="M88" s="298">
        <v>2355158.66</v>
      </c>
      <c r="N88" s="298">
        <f t="shared" si="27"/>
        <v>34841.339999999851</v>
      </c>
      <c r="O88" s="298">
        <v>100</v>
      </c>
      <c r="P88" s="298"/>
      <c r="Q88" s="122" t="s">
        <v>28</v>
      </c>
    </row>
    <row r="89" spans="1:17" s="79" customFormat="1" ht="112.5" x14ac:dyDescent="0.2">
      <c r="A89" s="77"/>
      <c r="B89" s="61"/>
      <c r="C89" s="61"/>
      <c r="D89" s="81" t="s">
        <v>196</v>
      </c>
      <c r="E89" s="26">
        <f t="shared" si="26"/>
        <v>2835000</v>
      </c>
      <c r="F89" s="21">
        <f>2940000-105000</f>
        <v>2835000</v>
      </c>
      <c r="G89" s="22">
        <v>0</v>
      </c>
      <c r="H89" s="521" t="s">
        <v>374</v>
      </c>
      <c r="I89" s="575" t="s">
        <v>394</v>
      </c>
      <c r="J89" s="548" t="s">
        <v>327</v>
      </c>
      <c r="K89" s="22">
        <v>2835000</v>
      </c>
      <c r="L89" s="27">
        <f t="shared" si="29"/>
        <v>0</v>
      </c>
      <c r="M89" s="297">
        <f>678924+708750</f>
        <v>1387674</v>
      </c>
      <c r="N89" s="298">
        <f t="shared" si="27"/>
        <v>1447326</v>
      </c>
      <c r="O89" s="298">
        <f t="shared" si="28"/>
        <v>48.947936507936511</v>
      </c>
      <c r="P89" s="298"/>
      <c r="Q89" s="122" t="s">
        <v>27</v>
      </c>
    </row>
    <row r="90" spans="1:17" s="9" customFormat="1" ht="24" customHeight="1" x14ac:dyDescent="0.2">
      <c r="A90" s="28"/>
      <c r="B90" s="29"/>
      <c r="C90" s="763" t="s">
        <v>150</v>
      </c>
      <c r="D90" s="764"/>
      <c r="E90" s="15">
        <f>F90+G90</f>
        <v>6132600</v>
      </c>
      <c r="F90" s="15">
        <f>F91+F92+F93+F94+F95</f>
        <v>6132600</v>
      </c>
      <c r="G90" s="15">
        <f>G91+G92+G93+G94</f>
        <v>0</v>
      </c>
      <c r="H90" s="510"/>
      <c r="I90" s="559"/>
      <c r="J90" s="510"/>
      <c r="K90" s="15">
        <f t="shared" ref="K90:M90" si="30">K91+K92+K93+K94</f>
        <v>5396100</v>
      </c>
      <c r="L90" s="15">
        <f t="shared" si="30"/>
        <v>0</v>
      </c>
      <c r="M90" s="296">
        <f t="shared" si="30"/>
        <v>850800</v>
      </c>
      <c r="N90" s="296">
        <f>N91+N92+N93+N94+N95</f>
        <v>4545300</v>
      </c>
      <c r="O90" s="296">
        <f>M90*100/K90</f>
        <v>15.766942792016456</v>
      </c>
      <c r="P90" s="296">
        <f>P91+P92+P93+P94+P95</f>
        <v>0</v>
      </c>
      <c r="Q90" s="113"/>
    </row>
    <row r="91" spans="1:17" s="79" customFormat="1" ht="56.25" x14ac:dyDescent="0.2">
      <c r="A91" s="77"/>
      <c r="B91" s="61"/>
      <c r="C91" s="61"/>
      <c r="D91" s="20" t="s">
        <v>197</v>
      </c>
      <c r="E91" s="26">
        <f>F91</f>
        <v>850800</v>
      </c>
      <c r="F91" s="26">
        <f>852600-1800</f>
        <v>850800</v>
      </c>
      <c r="G91" s="27">
        <v>0</v>
      </c>
      <c r="H91" s="521" t="s">
        <v>401</v>
      </c>
      <c r="I91" s="575" t="s">
        <v>328</v>
      </c>
      <c r="J91" s="547" t="s">
        <v>329</v>
      </c>
      <c r="K91" s="27">
        <v>850800</v>
      </c>
      <c r="L91" s="27">
        <f>F91-K91</f>
        <v>0</v>
      </c>
      <c r="M91" s="298">
        <v>850800</v>
      </c>
      <c r="N91" s="298">
        <f>K91-M91</f>
        <v>0</v>
      </c>
      <c r="O91" s="298">
        <f>M91*100/K91</f>
        <v>100</v>
      </c>
      <c r="P91" s="298"/>
      <c r="Q91" s="115" t="s">
        <v>24</v>
      </c>
    </row>
    <row r="92" spans="1:17" s="79" customFormat="1" ht="51.75" x14ac:dyDescent="0.2">
      <c r="A92" s="77"/>
      <c r="B92" s="61"/>
      <c r="C92" s="61"/>
      <c r="D92" s="78" t="s">
        <v>198</v>
      </c>
      <c r="E92" s="26">
        <f>F92</f>
        <v>1885000</v>
      </c>
      <c r="F92" s="26">
        <f>3780400-1895400</f>
        <v>1885000</v>
      </c>
      <c r="G92" s="27">
        <v>0</v>
      </c>
      <c r="H92" s="521" t="s">
        <v>374</v>
      </c>
      <c r="I92" s="575" t="s">
        <v>393</v>
      </c>
      <c r="J92" s="547" t="s">
        <v>332</v>
      </c>
      <c r="K92" s="27">
        <v>1885000</v>
      </c>
      <c r="L92" s="27">
        <f>F92-K92</f>
        <v>0</v>
      </c>
      <c r="M92" s="298"/>
      <c r="N92" s="298">
        <f t="shared" ref="N92:N94" si="31">F92-M92</f>
        <v>1885000</v>
      </c>
      <c r="O92" s="298">
        <f t="shared" ref="O92:O94" si="32">M92*100/K92</f>
        <v>0</v>
      </c>
      <c r="P92" s="298"/>
      <c r="Q92" s="115" t="s">
        <v>24</v>
      </c>
    </row>
    <row r="93" spans="1:17" s="79" customFormat="1" ht="56.25" x14ac:dyDescent="0.2">
      <c r="A93" s="84"/>
      <c r="B93" s="58"/>
      <c r="C93" s="58"/>
      <c r="D93" s="85" t="s">
        <v>199</v>
      </c>
      <c r="E93" s="26">
        <f>F93</f>
        <v>1450000</v>
      </c>
      <c r="F93" s="26">
        <f>1654200-204200</f>
        <v>1450000</v>
      </c>
      <c r="G93" s="22">
        <v>0</v>
      </c>
      <c r="H93" s="521" t="s">
        <v>374</v>
      </c>
      <c r="I93" s="575" t="s">
        <v>392</v>
      </c>
      <c r="J93" s="547" t="s">
        <v>329</v>
      </c>
      <c r="K93" s="22">
        <v>1450000</v>
      </c>
      <c r="L93" s="22">
        <f>F93-K93</f>
        <v>0</v>
      </c>
      <c r="M93" s="297"/>
      <c r="N93" s="298">
        <f t="shared" si="31"/>
        <v>1450000</v>
      </c>
      <c r="O93" s="298">
        <f t="shared" si="32"/>
        <v>0</v>
      </c>
      <c r="P93" s="297"/>
      <c r="Q93" s="124" t="s">
        <v>28</v>
      </c>
    </row>
    <row r="94" spans="1:17" s="79" customFormat="1" ht="56.25" x14ac:dyDescent="0.2">
      <c r="A94" s="77"/>
      <c r="B94" s="61"/>
      <c r="C94" s="61"/>
      <c r="D94" s="78" t="s">
        <v>200</v>
      </c>
      <c r="E94" s="26">
        <f>F94</f>
        <v>1210300</v>
      </c>
      <c r="F94" s="26">
        <f>1211300-1000</f>
        <v>1210300</v>
      </c>
      <c r="G94" s="22">
        <v>0</v>
      </c>
      <c r="H94" s="521" t="s">
        <v>374</v>
      </c>
      <c r="I94" s="575" t="s">
        <v>392</v>
      </c>
      <c r="J94" s="547" t="s">
        <v>329</v>
      </c>
      <c r="K94" s="22">
        <v>1210300</v>
      </c>
      <c r="L94" s="22">
        <f>F94-K94</f>
        <v>0</v>
      </c>
      <c r="M94" s="297"/>
      <c r="N94" s="298">
        <f t="shared" si="31"/>
        <v>1210300</v>
      </c>
      <c r="O94" s="298">
        <f t="shared" si="32"/>
        <v>0</v>
      </c>
      <c r="P94" s="298"/>
      <c r="Q94" s="115" t="s">
        <v>28</v>
      </c>
    </row>
    <row r="95" spans="1:17" s="79" customFormat="1" ht="42" x14ac:dyDescent="0.2">
      <c r="A95" s="77"/>
      <c r="B95" s="61"/>
      <c r="C95" s="61"/>
      <c r="D95" s="78" t="s">
        <v>201</v>
      </c>
      <c r="E95" s="82">
        <f>F95</f>
        <v>736500</v>
      </c>
      <c r="F95" s="357">
        <v>736500</v>
      </c>
      <c r="G95" s="358">
        <v>0</v>
      </c>
      <c r="H95" s="628" t="s">
        <v>278</v>
      </c>
      <c r="I95" s="576"/>
      <c r="J95" s="549"/>
      <c r="K95" s="1"/>
      <c r="L95" s="1"/>
      <c r="M95" s="317"/>
      <c r="N95" s="301">
        <v>0</v>
      </c>
      <c r="O95" s="298">
        <v>0</v>
      </c>
      <c r="P95" s="298"/>
      <c r="Q95" s="115" t="s">
        <v>27</v>
      </c>
    </row>
    <row r="96" spans="1:17" s="11" customFormat="1" x14ac:dyDescent="0.2">
      <c r="A96" s="44"/>
      <c r="B96" s="761" t="s">
        <v>151</v>
      </c>
      <c r="C96" s="761"/>
      <c r="D96" s="762"/>
      <c r="E96" s="50">
        <f>F96+G96</f>
        <v>51322625</v>
      </c>
      <c r="F96" s="50">
        <f>F97</f>
        <v>51322625</v>
      </c>
      <c r="G96" s="50">
        <f>G97</f>
        <v>0</v>
      </c>
      <c r="H96" s="513"/>
      <c r="I96" s="566"/>
      <c r="J96" s="513"/>
      <c r="K96" s="50">
        <f t="shared" ref="K96:P96" si="33">K97</f>
        <v>51322625</v>
      </c>
      <c r="L96" s="50">
        <f t="shared" si="33"/>
        <v>0</v>
      </c>
      <c r="M96" s="300">
        <f t="shared" si="33"/>
        <v>0</v>
      </c>
      <c r="N96" s="300">
        <f t="shared" si="33"/>
        <v>51322625</v>
      </c>
      <c r="O96" s="300">
        <v>0</v>
      </c>
      <c r="P96" s="300">
        <f t="shared" si="33"/>
        <v>0</v>
      </c>
      <c r="Q96" s="117"/>
    </row>
    <row r="97" spans="1:19" s="11" customFormat="1" x14ac:dyDescent="0.2">
      <c r="A97" s="40"/>
      <c r="B97" s="41"/>
      <c r="C97" s="767" t="s">
        <v>152</v>
      </c>
      <c r="D97" s="768"/>
      <c r="E97" s="15">
        <f>F97+G97</f>
        <v>51322625</v>
      </c>
      <c r="F97" s="15">
        <f>F98+F99+F100+F101+F102</f>
        <v>51322625</v>
      </c>
      <c r="G97" s="15">
        <f>G98+G99+G100+G101+G102</f>
        <v>0</v>
      </c>
      <c r="H97" s="510"/>
      <c r="I97" s="559"/>
      <c r="J97" s="510"/>
      <c r="K97" s="15">
        <f t="shared" ref="K97:P97" si="34">K98+K99+K100+K101+K102</f>
        <v>51322625</v>
      </c>
      <c r="L97" s="15">
        <f t="shared" si="34"/>
        <v>0</v>
      </c>
      <c r="M97" s="296">
        <f t="shared" si="34"/>
        <v>0</v>
      </c>
      <c r="N97" s="296">
        <f t="shared" si="34"/>
        <v>51322625</v>
      </c>
      <c r="O97" s="296">
        <v>0</v>
      </c>
      <c r="P97" s="296">
        <f t="shared" si="34"/>
        <v>0</v>
      </c>
      <c r="Q97" s="113"/>
      <c r="R97" s="11" t="s">
        <v>5</v>
      </c>
    </row>
    <row r="98" spans="1:19" ht="56.25" x14ac:dyDescent="0.2">
      <c r="A98" s="51"/>
      <c r="B98" s="52"/>
      <c r="C98" s="52"/>
      <c r="D98" s="20" t="s">
        <v>202</v>
      </c>
      <c r="E98" s="21">
        <f>F98</f>
        <v>9898000</v>
      </c>
      <c r="F98" s="21">
        <f>9900000-2000</f>
        <v>9898000</v>
      </c>
      <c r="G98" s="27">
        <v>0</v>
      </c>
      <c r="H98" s="628" t="s">
        <v>478</v>
      </c>
      <c r="I98" s="575" t="s">
        <v>435</v>
      </c>
      <c r="J98" s="521" t="s">
        <v>379</v>
      </c>
      <c r="K98" s="22">
        <v>9898000</v>
      </c>
      <c r="L98" s="22">
        <f>F98-K98</f>
        <v>0</v>
      </c>
      <c r="M98" s="297"/>
      <c r="N98" s="297">
        <f>K98-M98</f>
        <v>9898000</v>
      </c>
      <c r="O98" s="297">
        <f>M98*100/K98</f>
        <v>0</v>
      </c>
      <c r="P98" s="297"/>
      <c r="Q98" s="114" t="s">
        <v>29</v>
      </c>
      <c r="R98" s="653">
        <f>M7-R7</f>
        <v>21193388.920000002</v>
      </c>
      <c r="S98" s="654">
        <f>R98*100/G7</f>
        <v>28.271686171766721</v>
      </c>
    </row>
    <row r="99" spans="1:19" ht="56.25" x14ac:dyDescent="0.2">
      <c r="A99" s="51"/>
      <c r="B99" s="52"/>
      <c r="C99" s="52"/>
      <c r="D99" s="20" t="s">
        <v>203</v>
      </c>
      <c r="E99" s="21">
        <f>F99</f>
        <v>11873770</v>
      </c>
      <c r="F99" s="26">
        <f>11880000-6230</f>
        <v>11873770</v>
      </c>
      <c r="G99" s="27">
        <v>0</v>
      </c>
      <c r="H99" s="628" t="s">
        <v>478</v>
      </c>
      <c r="I99" s="575" t="s">
        <v>436</v>
      </c>
      <c r="J99" s="521" t="s">
        <v>379</v>
      </c>
      <c r="K99" s="27">
        <v>11873770</v>
      </c>
      <c r="L99" s="22">
        <f t="shared" ref="L99:L102" si="35">F99-K99</f>
        <v>0</v>
      </c>
      <c r="M99" s="298"/>
      <c r="N99" s="297">
        <f t="shared" ref="N99:N102" si="36">K99-M99</f>
        <v>11873770</v>
      </c>
      <c r="O99" s="297">
        <f t="shared" ref="O99:O101" si="37">M99*100/K99</f>
        <v>0</v>
      </c>
      <c r="P99" s="297"/>
      <c r="Q99" s="112" t="s">
        <v>29</v>
      </c>
    </row>
    <row r="100" spans="1:19" ht="56.25" x14ac:dyDescent="0.2">
      <c r="A100" s="51"/>
      <c r="B100" s="52"/>
      <c r="C100" s="52"/>
      <c r="D100" s="20" t="s">
        <v>204</v>
      </c>
      <c r="E100" s="21">
        <f>F100</f>
        <v>9884335</v>
      </c>
      <c r="F100" s="26">
        <f>9900000-15665</f>
        <v>9884335</v>
      </c>
      <c r="G100" s="27">
        <v>0</v>
      </c>
      <c r="H100" s="628" t="s">
        <v>478</v>
      </c>
      <c r="I100" s="575" t="s">
        <v>435</v>
      </c>
      <c r="J100" s="521" t="s">
        <v>379</v>
      </c>
      <c r="K100" s="22">
        <v>9884335</v>
      </c>
      <c r="L100" s="22">
        <f t="shared" si="35"/>
        <v>0</v>
      </c>
      <c r="M100" s="297"/>
      <c r="N100" s="297">
        <f t="shared" si="36"/>
        <v>9884335</v>
      </c>
      <c r="O100" s="297">
        <f t="shared" si="37"/>
        <v>0</v>
      </c>
      <c r="P100" s="297"/>
      <c r="Q100" s="114" t="s">
        <v>29</v>
      </c>
    </row>
    <row r="101" spans="1:19" ht="56.25" x14ac:dyDescent="0.2">
      <c r="A101" s="51"/>
      <c r="B101" s="52"/>
      <c r="C101" s="52"/>
      <c r="D101" s="20" t="s">
        <v>153</v>
      </c>
      <c r="E101" s="21">
        <f>F101</f>
        <v>4897620</v>
      </c>
      <c r="F101" s="26">
        <f>4900000-2380</f>
        <v>4897620</v>
      </c>
      <c r="G101" s="27">
        <v>0</v>
      </c>
      <c r="H101" s="628" t="s">
        <v>478</v>
      </c>
      <c r="I101" s="575" t="s">
        <v>435</v>
      </c>
      <c r="J101" s="521" t="s">
        <v>379</v>
      </c>
      <c r="K101" s="27">
        <v>4897620</v>
      </c>
      <c r="L101" s="22">
        <f>F101-K101</f>
        <v>0</v>
      </c>
      <c r="M101" s="298"/>
      <c r="N101" s="297">
        <f>K101-M101</f>
        <v>4897620</v>
      </c>
      <c r="O101" s="297">
        <f t="shared" si="37"/>
        <v>0</v>
      </c>
      <c r="P101" s="297"/>
      <c r="Q101" s="112" t="s">
        <v>29</v>
      </c>
    </row>
    <row r="102" spans="1:19" ht="56.25" x14ac:dyDescent="0.2">
      <c r="A102" s="51"/>
      <c r="B102" s="52"/>
      <c r="C102" s="52"/>
      <c r="D102" s="20" t="s">
        <v>205</v>
      </c>
      <c r="E102" s="21">
        <f>F102</f>
        <v>14768900</v>
      </c>
      <c r="F102" s="26">
        <f>14850000-81100</f>
        <v>14768900</v>
      </c>
      <c r="G102" s="27">
        <v>0</v>
      </c>
      <c r="H102" s="628" t="s">
        <v>478</v>
      </c>
      <c r="I102" s="575" t="s">
        <v>436</v>
      </c>
      <c r="J102" s="521" t="s">
        <v>379</v>
      </c>
      <c r="K102" s="27">
        <f>14768000+900</f>
        <v>14768900</v>
      </c>
      <c r="L102" s="22">
        <f t="shared" si="35"/>
        <v>0</v>
      </c>
      <c r="M102" s="298"/>
      <c r="N102" s="297">
        <f t="shared" si="36"/>
        <v>14768900</v>
      </c>
      <c r="O102" s="297">
        <f>M102*100/K102</f>
        <v>0</v>
      </c>
      <c r="P102" s="297"/>
      <c r="Q102" s="112" t="s">
        <v>29</v>
      </c>
    </row>
    <row r="103" spans="1:19" s="11" customFormat="1" ht="22.5" customHeight="1" x14ac:dyDescent="0.2">
      <c r="A103" s="44"/>
      <c r="B103" s="761" t="s">
        <v>154</v>
      </c>
      <c r="C103" s="761"/>
      <c r="D103" s="762"/>
      <c r="E103" s="50">
        <f>F103+G103</f>
        <v>9379400</v>
      </c>
      <c r="F103" s="50">
        <f>F104+F106+F111</f>
        <v>5508000</v>
      </c>
      <c r="G103" s="50">
        <f>G104+G106+G111</f>
        <v>3871400</v>
      </c>
      <c r="H103" s="513"/>
      <c r="I103" s="566"/>
      <c r="J103" s="513"/>
      <c r="K103" s="50">
        <f t="shared" ref="K103:P103" si="38">K104+K106+K111</f>
        <v>1980000</v>
      </c>
      <c r="L103" s="50">
        <f t="shared" si="38"/>
        <v>0</v>
      </c>
      <c r="M103" s="300">
        <f t="shared" si="38"/>
        <v>1278969</v>
      </c>
      <c r="N103" s="300">
        <f t="shared" si="38"/>
        <v>4452031</v>
      </c>
      <c r="O103" s="300">
        <f>M103*100/E103</f>
        <v>13.635936200609848</v>
      </c>
      <c r="P103" s="300">
        <f t="shared" si="38"/>
        <v>120400</v>
      </c>
      <c r="Q103" s="117"/>
    </row>
    <row r="104" spans="1:19" s="11" customFormat="1" ht="44.25" customHeight="1" x14ac:dyDescent="0.2">
      <c r="A104" s="28"/>
      <c r="B104" s="29"/>
      <c r="C104" s="763" t="s">
        <v>155</v>
      </c>
      <c r="D104" s="764"/>
      <c r="E104" s="15">
        <f>F104+G104</f>
        <v>971400</v>
      </c>
      <c r="F104" s="15">
        <f>F105</f>
        <v>0</v>
      </c>
      <c r="G104" s="15">
        <f>G105</f>
        <v>971400</v>
      </c>
      <c r="H104" s="510"/>
      <c r="I104" s="559"/>
      <c r="J104" s="510"/>
      <c r="K104" s="15">
        <f t="shared" ref="K104:P104" si="39">K105</f>
        <v>0</v>
      </c>
      <c r="L104" s="15">
        <f t="shared" si="39"/>
        <v>0</v>
      </c>
      <c r="M104" s="296">
        <f t="shared" si="39"/>
        <v>885819</v>
      </c>
      <c r="N104" s="296">
        <f t="shared" si="39"/>
        <v>29681</v>
      </c>
      <c r="O104" s="296">
        <f>M104*100/G104</f>
        <v>91.189932056825199</v>
      </c>
      <c r="P104" s="296">
        <f t="shared" si="39"/>
        <v>55900</v>
      </c>
      <c r="Q104" s="113"/>
    </row>
    <row r="105" spans="1:19" s="9" customFormat="1" ht="47.25" x14ac:dyDescent="0.2">
      <c r="A105" s="38"/>
      <c r="B105" s="39"/>
      <c r="C105" s="76"/>
      <c r="D105" s="20" t="s">
        <v>157</v>
      </c>
      <c r="E105" s="26">
        <f>G105</f>
        <v>971400</v>
      </c>
      <c r="F105" s="26">
        <v>0</v>
      </c>
      <c r="G105" s="27">
        <v>971400</v>
      </c>
      <c r="H105" s="627" t="s">
        <v>361</v>
      </c>
      <c r="I105" s="561"/>
      <c r="J105" s="511"/>
      <c r="K105" s="27"/>
      <c r="L105" s="27"/>
      <c r="M105" s="298">
        <f>206900+16200+96000+15000+499200+19500+16500-55900+4179+63500+3740+1000</f>
        <v>885819</v>
      </c>
      <c r="N105" s="298">
        <f>G105-M105-P105</f>
        <v>29681</v>
      </c>
      <c r="O105" s="298">
        <f>M105*100/G105</f>
        <v>91.189932056825199</v>
      </c>
      <c r="P105" s="298">
        <v>55900</v>
      </c>
      <c r="Q105" s="112" t="s">
        <v>303</v>
      </c>
    </row>
    <row r="106" spans="1:19" s="11" customFormat="1" ht="44.25" customHeight="1" x14ac:dyDescent="0.2">
      <c r="A106" s="40"/>
      <c r="B106" s="41"/>
      <c r="C106" s="765" t="s">
        <v>156</v>
      </c>
      <c r="D106" s="766"/>
      <c r="E106" s="15">
        <f>F106+G106</f>
        <v>6428000</v>
      </c>
      <c r="F106" s="15">
        <f>F107+F110</f>
        <v>3528000</v>
      </c>
      <c r="G106" s="15">
        <f>G107+G110</f>
        <v>2900000</v>
      </c>
      <c r="H106" s="510"/>
      <c r="I106" s="559"/>
      <c r="J106" s="510"/>
      <c r="K106" s="15">
        <f t="shared" ref="K106:N106" si="40">K107+K110</f>
        <v>0</v>
      </c>
      <c r="L106" s="15">
        <f t="shared" si="40"/>
        <v>0</v>
      </c>
      <c r="M106" s="296">
        <f t="shared" si="40"/>
        <v>393150</v>
      </c>
      <c r="N106" s="296">
        <f t="shared" si="40"/>
        <v>2442350</v>
      </c>
      <c r="O106" s="296">
        <f>M106*100/E106</f>
        <v>6.1162103298070942</v>
      </c>
      <c r="P106" s="296">
        <f>P108+P110</f>
        <v>64500</v>
      </c>
      <c r="Q106" s="113"/>
    </row>
    <row r="107" spans="1:19" s="9" customFormat="1" ht="63" x14ac:dyDescent="0.2">
      <c r="A107" s="38"/>
      <c r="B107" s="39"/>
      <c r="C107" s="76"/>
      <c r="D107" s="20" t="s">
        <v>158</v>
      </c>
      <c r="E107" s="26">
        <f>F107+G107</f>
        <v>3928000</v>
      </c>
      <c r="F107" s="26">
        <f>F108+F109</f>
        <v>3528000</v>
      </c>
      <c r="G107" s="27">
        <f>G108+G109</f>
        <v>400000</v>
      </c>
      <c r="H107" s="511"/>
      <c r="I107" s="561"/>
      <c r="J107" s="511"/>
      <c r="K107" s="27">
        <f t="shared" ref="K107:N107" si="41">K108+K109</f>
        <v>0</v>
      </c>
      <c r="L107" s="27">
        <f t="shared" si="41"/>
        <v>0</v>
      </c>
      <c r="M107" s="298">
        <f t="shared" si="41"/>
        <v>325900</v>
      </c>
      <c r="N107" s="298">
        <f t="shared" si="41"/>
        <v>9600</v>
      </c>
      <c r="O107" s="301">
        <v>81.13</v>
      </c>
      <c r="P107" s="301"/>
      <c r="Q107" s="505" t="s">
        <v>301</v>
      </c>
    </row>
    <row r="108" spans="1:19" s="9" customFormat="1" ht="63" x14ac:dyDescent="0.2">
      <c r="A108" s="38"/>
      <c r="B108" s="39"/>
      <c r="C108" s="76"/>
      <c r="D108" s="20" t="s">
        <v>185</v>
      </c>
      <c r="E108" s="26"/>
      <c r="F108" s="26"/>
      <c r="G108" s="27">
        <v>400000</v>
      </c>
      <c r="H108" s="627" t="s">
        <v>486</v>
      </c>
      <c r="I108" s="561"/>
      <c r="J108" s="511"/>
      <c r="K108" s="27"/>
      <c r="L108" s="27"/>
      <c r="M108" s="298">
        <f>197500+15000+50000+3750+1750+7000+15000+3750+1750+63500-34500+1400</f>
        <v>325900</v>
      </c>
      <c r="N108" s="298">
        <f>G108-M108-P108</f>
        <v>9600</v>
      </c>
      <c r="O108" s="298">
        <f>M108*100/G108</f>
        <v>81.474999999999994</v>
      </c>
      <c r="P108" s="301">
        <v>64500</v>
      </c>
      <c r="Q108" s="112" t="s">
        <v>301</v>
      </c>
    </row>
    <row r="109" spans="1:19" s="9" customFormat="1" ht="37.5" x14ac:dyDescent="0.2">
      <c r="A109" s="80"/>
      <c r="B109" s="59"/>
      <c r="C109" s="59"/>
      <c r="D109" s="339" t="s">
        <v>30</v>
      </c>
      <c r="E109" s="340">
        <f>F109</f>
        <v>3528000</v>
      </c>
      <c r="F109" s="64">
        <v>3528000</v>
      </c>
      <c r="G109" s="65">
        <v>0</v>
      </c>
      <c r="H109" s="618" t="s">
        <v>278</v>
      </c>
      <c r="I109" s="571"/>
      <c r="J109" s="546"/>
      <c r="K109" s="65"/>
      <c r="L109" s="65"/>
      <c r="M109" s="315"/>
      <c r="N109" s="315"/>
      <c r="O109" s="315">
        <v>0</v>
      </c>
      <c r="P109" s="315"/>
      <c r="Q109" s="590"/>
    </row>
    <row r="110" spans="1:19" s="9" customFormat="1" ht="44.25" customHeight="1" x14ac:dyDescent="0.2">
      <c r="A110" s="73"/>
      <c r="B110" s="74"/>
      <c r="C110" s="75"/>
      <c r="D110" s="55" t="s">
        <v>159</v>
      </c>
      <c r="E110" s="69">
        <f>G110</f>
        <v>2500000</v>
      </c>
      <c r="F110" s="69">
        <v>0</v>
      </c>
      <c r="G110" s="70">
        <v>2500000</v>
      </c>
      <c r="H110" s="627" t="s">
        <v>361</v>
      </c>
      <c r="I110" s="574"/>
      <c r="J110" s="529"/>
      <c r="K110" s="71"/>
      <c r="L110" s="71"/>
      <c r="M110" s="306">
        <f>44750+22500</f>
        <v>67250</v>
      </c>
      <c r="N110" s="306">
        <f>G110-M110</f>
        <v>2432750</v>
      </c>
      <c r="O110" s="306">
        <f>M110*100/G110</f>
        <v>2.69</v>
      </c>
      <c r="P110" s="306"/>
      <c r="Q110" s="118" t="s">
        <v>21</v>
      </c>
    </row>
    <row r="111" spans="1:19" s="11" customFormat="1" ht="26.25" customHeight="1" x14ac:dyDescent="0.2">
      <c r="A111" s="40"/>
      <c r="B111" s="41"/>
      <c r="C111" s="765" t="s">
        <v>160</v>
      </c>
      <c r="D111" s="766"/>
      <c r="E111" s="46">
        <f>F111+G111</f>
        <v>1980000</v>
      </c>
      <c r="F111" s="46">
        <f>F112</f>
        <v>1980000</v>
      </c>
      <c r="G111" s="46">
        <f>G112</f>
        <v>0</v>
      </c>
      <c r="H111" s="512"/>
      <c r="I111" s="565"/>
      <c r="J111" s="512"/>
      <c r="K111" s="46">
        <f t="shared" ref="K111:N111" si="42">K112</f>
        <v>1980000</v>
      </c>
      <c r="L111" s="46">
        <f t="shared" si="42"/>
        <v>0</v>
      </c>
      <c r="M111" s="299">
        <f t="shared" si="42"/>
        <v>0</v>
      </c>
      <c r="N111" s="299">
        <f t="shared" si="42"/>
        <v>1980000</v>
      </c>
      <c r="O111" s="299">
        <f>M111*100/K111</f>
        <v>0</v>
      </c>
      <c r="P111" s="299"/>
      <c r="Q111" s="113"/>
    </row>
    <row r="112" spans="1:19" s="11" customFormat="1" ht="51.75" x14ac:dyDescent="0.2">
      <c r="A112" s="17"/>
      <c r="B112" s="18"/>
      <c r="C112" s="18"/>
      <c r="D112" s="20" t="s">
        <v>276</v>
      </c>
      <c r="E112" s="26">
        <f>F112</f>
        <v>1980000</v>
      </c>
      <c r="F112" s="26">
        <f>2178000-198000</f>
        <v>1980000</v>
      </c>
      <c r="G112" s="27">
        <v>0</v>
      </c>
      <c r="H112" s="522" t="s">
        <v>374</v>
      </c>
      <c r="I112" s="575" t="s">
        <v>465</v>
      </c>
      <c r="J112" s="521" t="s">
        <v>318</v>
      </c>
      <c r="K112" s="210">
        <v>1980000</v>
      </c>
      <c r="L112" s="27">
        <f>F112-K112</f>
        <v>0</v>
      </c>
      <c r="M112" s="298"/>
      <c r="N112" s="298">
        <f>K112-M112</f>
        <v>1980000</v>
      </c>
      <c r="O112" s="298">
        <f>M112*100/K112</f>
        <v>0</v>
      </c>
      <c r="P112" s="298"/>
      <c r="Q112" s="112" t="s">
        <v>31</v>
      </c>
    </row>
    <row r="113" spans="1:17" s="11" customFormat="1" ht="24.75" customHeight="1" x14ac:dyDescent="0.2">
      <c r="A113" s="769" t="s">
        <v>32</v>
      </c>
      <c r="B113" s="769"/>
      <c r="C113" s="769"/>
      <c r="D113" s="769"/>
      <c r="E113" s="86">
        <f>F113+G113</f>
        <v>13560000</v>
      </c>
      <c r="F113" s="86">
        <f>F114+F117+F123+F129+F136</f>
        <v>520000</v>
      </c>
      <c r="G113" s="86">
        <f>G114+G117+G123+G129+G136</f>
        <v>13040000</v>
      </c>
      <c r="H113" s="523"/>
      <c r="I113" s="577"/>
      <c r="J113" s="523"/>
      <c r="K113" s="86">
        <f t="shared" ref="K113:P113" si="43">K114+K117+K123+K129+K136</f>
        <v>520000</v>
      </c>
      <c r="L113" s="86">
        <f t="shared" si="43"/>
        <v>0</v>
      </c>
      <c r="M113" s="307">
        <f t="shared" si="43"/>
        <v>4524282.97</v>
      </c>
      <c r="N113" s="307">
        <f t="shared" si="43"/>
        <v>9005153.0300000012</v>
      </c>
      <c r="O113" s="307">
        <f>M113*100/E113</f>
        <v>33.364918657817107</v>
      </c>
      <c r="P113" s="307">
        <f t="shared" si="43"/>
        <v>30564</v>
      </c>
      <c r="Q113" s="125"/>
    </row>
    <row r="114" spans="1:17" s="11" customFormat="1" ht="44.25" customHeight="1" x14ac:dyDescent="0.2">
      <c r="A114" s="44"/>
      <c r="B114" s="761" t="s">
        <v>33</v>
      </c>
      <c r="C114" s="761"/>
      <c r="D114" s="762"/>
      <c r="E114" s="50">
        <f>F114+G114</f>
        <v>300000</v>
      </c>
      <c r="F114" s="50">
        <f>F115</f>
        <v>0</v>
      </c>
      <c r="G114" s="50">
        <f>G115</f>
        <v>300000</v>
      </c>
      <c r="H114" s="513"/>
      <c r="I114" s="566"/>
      <c r="J114" s="513"/>
      <c r="K114" s="50">
        <f t="shared" ref="K114:P115" si="44">K115</f>
        <v>0</v>
      </c>
      <c r="L114" s="50">
        <f t="shared" si="44"/>
        <v>0</v>
      </c>
      <c r="M114" s="300">
        <f t="shared" si="44"/>
        <v>269436</v>
      </c>
      <c r="N114" s="300">
        <f t="shared" si="44"/>
        <v>0</v>
      </c>
      <c r="O114" s="300">
        <f t="shared" ref="O114:O122" si="45">M114*100/G114</f>
        <v>89.811999999999998</v>
      </c>
      <c r="P114" s="300">
        <f t="shared" si="44"/>
        <v>30564</v>
      </c>
      <c r="Q114" s="117"/>
    </row>
    <row r="115" spans="1:17" s="11" customFormat="1" ht="42.75" customHeight="1" x14ac:dyDescent="0.2">
      <c r="A115" s="28"/>
      <c r="B115" s="29"/>
      <c r="C115" s="763" t="s">
        <v>34</v>
      </c>
      <c r="D115" s="764"/>
      <c r="E115" s="46">
        <f>F115+G115</f>
        <v>300000</v>
      </c>
      <c r="F115" s="46">
        <f>F116</f>
        <v>0</v>
      </c>
      <c r="G115" s="46">
        <f>G116</f>
        <v>300000</v>
      </c>
      <c r="H115" s="512"/>
      <c r="I115" s="565"/>
      <c r="J115" s="512"/>
      <c r="K115" s="46">
        <f t="shared" si="44"/>
        <v>0</v>
      </c>
      <c r="L115" s="46">
        <f t="shared" si="44"/>
        <v>0</v>
      </c>
      <c r="M115" s="299">
        <f t="shared" si="44"/>
        <v>269436</v>
      </c>
      <c r="N115" s="299">
        <f t="shared" si="44"/>
        <v>0</v>
      </c>
      <c r="O115" s="299">
        <v>100</v>
      </c>
      <c r="P115" s="299">
        <f t="shared" si="44"/>
        <v>30564</v>
      </c>
      <c r="Q115" s="113"/>
    </row>
    <row r="116" spans="1:17" s="9" customFormat="1" ht="47.25" x14ac:dyDescent="0.2">
      <c r="A116" s="38"/>
      <c r="B116" s="39"/>
      <c r="C116" s="76"/>
      <c r="D116" s="20" t="s">
        <v>35</v>
      </c>
      <c r="E116" s="26">
        <f>G116</f>
        <v>300000</v>
      </c>
      <c r="F116" s="26">
        <v>0</v>
      </c>
      <c r="G116" s="27">
        <v>300000</v>
      </c>
      <c r="H116" s="627" t="s">
        <v>401</v>
      </c>
      <c r="I116" s="561"/>
      <c r="J116" s="511"/>
      <c r="K116" s="27"/>
      <c r="L116" s="27"/>
      <c r="M116" s="298">
        <f>94500+540+844+22562+29000+484+540+22725+1260+1000+30500+540+844+22817+604+540+22470+19402+844+540+840+840+1200-6000</f>
        <v>269436</v>
      </c>
      <c r="N116" s="298">
        <f>G116-M116-P116</f>
        <v>0</v>
      </c>
      <c r="O116" s="298">
        <v>100</v>
      </c>
      <c r="P116" s="298">
        <v>30564</v>
      </c>
      <c r="Q116" s="112" t="s">
        <v>500</v>
      </c>
    </row>
    <row r="117" spans="1:17" s="11" customFormat="1" ht="45.75" customHeight="1" x14ac:dyDescent="0.2">
      <c r="A117" s="87"/>
      <c r="B117" s="771" t="s">
        <v>36</v>
      </c>
      <c r="C117" s="771"/>
      <c r="D117" s="772"/>
      <c r="E117" s="88">
        <f>E118+E120</f>
        <v>4304900</v>
      </c>
      <c r="F117" s="88">
        <f>F118+F120</f>
        <v>0</v>
      </c>
      <c r="G117" s="88">
        <f>G118+G120</f>
        <v>4304900</v>
      </c>
      <c r="H117" s="524"/>
      <c r="I117" s="578"/>
      <c r="J117" s="524"/>
      <c r="K117" s="88">
        <f t="shared" ref="K117:P117" si="46">K118+K120</f>
        <v>0</v>
      </c>
      <c r="L117" s="88">
        <f t="shared" si="46"/>
        <v>0</v>
      </c>
      <c r="M117" s="308">
        <f t="shared" si="46"/>
        <v>417100</v>
      </c>
      <c r="N117" s="308">
        <f t="shared" si="46"/>
        <v>3887800</v>
      </c>
      <c r="O117" s="321">
        <f t="shared" si="45"/>
        <v>9.6889590931264369</v>
      </c>
      <c r="P117" s="308">
        <f t="shared" si="46"/>
        <v>0</v>
      </c>
      <c r="Q117" s="117"/>
    </row>
    <row r="118" spans="1:17" s="11" customFormat="1" x14ac:dyDescent="0.2">
      <c r="A118" s="40"/>
      <c r="B118" s="41"/>
      <c r="C118" s="763" t="s">
        <v>37</v>
      </c>
      <c r="D118" s="764"/>
      <c r="E118" s="15">
        <f>F118+G118</f>
        <v>304900</v>
      </c>
      <c r="F118" s="15">
        <f>F119</f>
        <v>0</v>
      </c>
      <c r="G118" s="15">
        <f>G119</f>
        <v>304900</v>
      </c>
      <c r="H118" s="510"/>
      <c r="I118" s="559"/>
      <c r="J118" s="510"/>
      <c r="K118" s="15">
        <f t="shared" ref="K118:M118" si="47">K119</f>
        <v>0</v>
      </c>
      <c r="L118" s="15">
        <f t="shared" si="47"/>
        <v>0</v>
      </c>
      <c r="M118" s="296">
        <f t="shared" si="47"/>
        <v>304900</v>
      </c>
      <c r="N118" s="296">
        <f>N119</f>
        <v>0</v>
      </c>
      <c r="O118" s="296">
        <f t="shared" si="45"/>
        <v>100</v>
      </c>
      <c r="P118" s="296">
        <f>P119</f>
        <v>0</v>
      </c>
      <c r="Q118" s="113"/>
    </row>
    <row r="119" spans="1:17" s="9" customFormat="1" ht="42" x14ac:dyDescent="0.2">
      <c r="A119" s="73"/>
      <c r="B119" s="74"/>
      <c r="C119" s="76"/>
      <c r="D119" s="20" t="s">
        <v>38</v>
      </c>
      <c r="E119" s="26">
        <f>G119</f>
        <v>304900</v>
      </c>
      <c r="F119" s="26">
        <v>0</v>
      </c>
      <c r="G119" s="27">
        <v>304900</v>
      </c>
      <c r="H119" s="548" t="s">
        <v>401</v>
      </c>
      <c r="I119" s="561"/>
      <c r="J119" s="511"/>
      <c r="K119" s="27"/>
      <c r="L119" s="27"/>
      <c r="M119" s="298">
        <f>158400+4500+72000+70000</f>
        <v>304900</v>
      </c>
      <c r="N119" s="298">
        <f>G119-M119</f>
        <v>0</v>
      </c>
      <c r="O119" s="298">
        <f t="shared" si="45"/>
        <v>100</v>
      </c>
      <c r="P119" s="298"/>
      <c r="Q119" s="112" t="s">
        <v>39</v>
      </c>
    </row>
    <row r="120" spans="1:17" s="11" customFormat="1" x14ac:dyDescent="0.2">
      <c r="A120" s="28"/>
      <c r="B120" s="29"/>
      <c r="C120" s="763" t="s">
        <v>40</v>
      </c>
      <c r="D120" s="764"/>
      <c r="E120" s="15">
        <f>F120+G120</f>
        <v>4000000</v>
      </c>
      <c r="F120" s="15">
        <f>F121+F122</f>
        <v>0</v>
      </c>
      <c r="G120" s="15">
        <f>G121+G122</f>
        <v>4000000</v>
      </c>
      <c r="H120" s="510"/>
      <c r="I120" s="559"/>
      <c r="J120" s="510"/>
      <c r="K120" s="15">
        <f t="shared" ref="K120:P120" si="48">K121+K122</f>
        <v>0</v>
      </c>
      <c r="L120" s="15">
        <f t="shared" si="48"/>
        <v>0</v>
      </c>
      <c r="M120" s="296">
        <f t="shared" si="48"/>
        <v>112200</v>
      </c>
      <c r="N120" s="296">
        <f t="shared" si="48"/>
        <v>3887800</v>
      </c>
      <c r="O120" s="296">
        <f t="shared" si="45"/>
        <v>2.8050000000000002</v>
      </c>
      <c r="P120" s="296">
        <f t="shared" si="48"/>
        <v>0</v>
      </c>
      <c r="Q120" s="113"/>
    </row>
    <row r="121" spans="1:17" s="9" customFormat="1" ht="37.5" x14ac:dyDescent="0.2">
      <c r="A121" s="38"/>
      <c r="B121" s="39"/>
      <c r="C121" s="76"/>
      <c r="D121" s="20" t="s">
        <v>41</v>
      </c>
      <c r="E121" s="66">
        <f>G121</f>
        <v>1000000</v>
      </c>
      <c r="F121" s="66">
        <v>0</v>
      </c>
      <c r="G121" s="67">
        <v>1000000</v>
      </c>
      <c r="H121" s="627" t="s">
        <v>361</v>
      </c>
      <c r="I121" s="572"/>
      <c r="J121" s="519"/>
      <c r="K121" s="67"/>
      <c r="L121" s="67"/>
      <c r="M121" s="304">
        <f>101200+11000</f>
        <v>112200</v>
      </c>
      <c r="N121" s="304">
        <f>G121-M121</f>
        <v>887800</v>
      </c>
      <c r="O121" s="304">
        <f t="shared" si="45"/>
        <v>11.22</v>
      </c>
      <c r="P121" s="304"/>
      <c r="Q121" s="112" t="s">
        <v>22</v>
      </c>
    </row>
    <row r="122" spans="1:17" s="11" customFormat="1" ht="42" x14ac:dyDescent="0.2">
      <c r="A122" s="17"/>
      <c r="B122" s="18"/>
      <c r="C122" s="18"/>
      <c r="D122" s="20" t="s">
        <v>42</v>
      </c>
      <c r="E122" s="66">
        <f>G122</f>
        <v>3000000</v>
      </c>
      <c r="F122" s="26">
        <v>0</v>
      </c>
      <c r="G122" s="27">
        <v>3000000</v>
      </c>
      <c r="H122" s="627" t="s">
        <v>361</v>
      </c>
      <c r="I122" s="561"/>
      <c r="J122" s="511"/>
      <c r="K122" s="27"/>
      <c r="L122" s="27"/>
      <c r="M122" s="298"/>
      <c r="N122" s="304">
        <f>G122-M122</f>
        <v>3000000</v>
      </c>
      <c r="O122" s="304">
        <f t="shared" si="45"/>
        <v>0</v>
      </c>
      <c r="P122" s="304"/>
      <c r="Q122" s="332" t="s">
        <v>22</v>
      </c>
    </row>
    <row r="123" spans="1:17" s="11" customFormat="1" ht="45.75" customHeight="1" x14ac:dyDescent="0.2">
      <c r="A123" s="44"/>
      <c r="B123" s="761" t="s">
        <v>43</v>
      </c>
      <c r="C123" s="761"/>
      <c r="D123" s="762"/>
      <c r="E123" s="50">
        <f>F123+G123</f>
        <v>3768800</v>
      </c>
      <c r="F123" s="50">
        <f>F124</f>
        <v>495000</v>
      </c>
      <c r="G123" s="50">
        <f>G124</f>
        <v>3273800</v>
      </c>
      <c r="H123" s="513"/>
      <c r="I123" s="566"/>
      <c r="J123" s="513"/>
      <c r="K123" s="50">
        <f t="shared" ref="K123:P123" si="49">K124</f>
        <v>495000</v>
      </c>
      <c r="L123" s="50">
        <f t="shared" si="49"/>
        <v>0</v>
      </c>
      <c r="M123" s="300">
        <f t="shared" si="49"/>
        <v>2725610</v>
      </c>
      <c r="N123" s="300">
        <f t="shared" si="49"/>
        <v>1043190</v>
      </c>
      <c r="O123" s="300">
        <f>M123*100/E123</f>
        <v>72.320367225642116</v>
      </c>
      <c r="P123" s="300">
        <f t="shared" si="49"/>
        <v>0</v>
      </c>
      <c r="Q123" s="116"/>
    </row>
    <row r="124" spans="1:17" s="11" customFormat="1" ht="45.75" customHeight="1" x14ac:dyDescent="0.2">
      <c r="A124" s="28"/>
      <c r="B124" s="29"/>
      <c r="C124" s="763" t="s">
        <v>44</v>
      </c>
      <c r="D124" s="764"/>
      <c r="E124" s="15">
        <f>F124+G124</f>
        <v>3768800</v>
      </c>
      <c r="F124" s="15">
        <f>F125+F128</f>
        <v>495000</v>
      </c>
      <c r="G124" s="15">
        <f>G125+G128</f>
        <v>3273800</v>
      </c>
      <c r="H124" s="510"/>
      <c r="I124" s="559"/>
      <c r="J124" s="510"/>
      <c r="K124" s="15">
        <f t="shared" ref="K124:P124" si="50">K125+K128</f>
        <v>495000</v>
      </c>
      <c r="L124" s="15">
        <f t="shared" si="50"/>
        <v>0</v>
      </c>
      <c r="M124" s="296">
        <f t="shared" si="50"/>
        <v>2725610</v>
      </c>
      <c r="N124" s="296">
        <f t="shared" si="50"/>
        <v>1043190</v>
      </c>
      <c r="O124" s="296">
        <f>M124*100/E124</f>
        <v>72.320367225642116</v>
      </c>
      <c r="P124" s="296">
        <f t="shared" si="50"/>
        <v>0</v>
      </c>
      <c r="Q124" s="113"/>
    </row>
    <row r="125" spans="1:17" s="11" customFormat="1" ht="43.5" customHeight="1" x14ac:dyDescent="0.2">
      <c r="A125" s="17"/>
      <c r="B125" s="18"/>
      <c r="C125" s="18"/>
      <c r="D125" s="20" t="s">
        <v>161</v>
      </c>
      <c r="E125" s="26">
        <f>F125+G125</f>
        <v>2566900</v>
      </c>
      <c r="F125" s="26">
        <f>F126+F127</f>
        <v>495000</v>
      </c>
      <c r="G125" s="27">
        <f>G126+G127</f>
        <v>2071900</v>
      </c>
      <c r="H125" s="511"/>
      <c r="I125" s="561"/>
      <c r="J125" s="511"/>
      <c r="K125" s="27">
        <f t="shared" ref="K125:N125" si="51">K126+K127</f>
        <v>495000</v>
      </c>
      <c r="L125" s="27">
        <f t="shared" si="51"/>
        <v>0</v>
      </c>
      <c r="M125" s="298">
        <f t="shared" si="51"/>
        <v>2118600</v>
      </c>
      <c r="N125" s="298">
        <f t="shared" si="51"/>
        <v>448300</v>
      </c>
      <c r="O125" s="298">
        <f>M125*100/E125</f>
        <v>82.535353928863614</v>
      </c>
      <c r="P125" s="298"/>
      <c r="Q125" s="112" t="s">
        <v>39</v>
      </c>
    </row>
    <row r="126" spans="1:17" s="11" customFormat="1" ht="37.5" x14ac:dyDescent="0.2">
      <c r="A126" s="17"/>
      <c r="B126" s="18"/>
      <c r="C126" s="18"/>
      <c r="D126" s="20" t="s">
        <v>185</v>
      </c>
      <c r="E126" s="26">
        <f>G126</f>
        <v>2071900</v>
      </c>
      <c r="F126" s="26"/>
      <c r="G126" s="27">
        <v>2071900</v>
      </c>
      <c r="H126" s="627" t="s">
        <v>361</v>
      </c>
      <c r="I126" s="561"/>
      <c r="J126" s="511"/>
      <c r="K126" s="27"/>
      <c r="L126" s="27"/>
      <c r="M126" s="298">
        <f>20700+16800+20700+18000+77175+20700+13800+25200+18000+20700+20700+30000+30000+6000+6000+1500+1500+500+500+9450+6900+13800+70000+40000+60025+500+3000+500+500+6000+10500+25000+2000+32950+6800+3000+500+24000+31200+500+280000+3000+105000+180000+360000</f>
        <v>1623600</v>
      </c>
      <c r="N126" s="298">
        <f>G126-M126</f>
        <v>448300</v>
      </c>
      <c r="O126" s="298">
        <f>M126*100/G126</f>
        <v>78.362855350161681</v>
      </c>
      <c r="P126" s="298"/>
      <c r="Q126" s="112"/>
    </row>
    <row r="127" spans="1:17" s="11" customFormat="1" ht="51.75" x14ac:dyDescent="0.2">
      <c r="A127" s="23"/>
      <c r="B127" s="24"/>
      <c r="C127" s="24"/>
      <c r="D127" s="25" t="s">
        <v>45</v>
      </c>
      <c r="E127" s="21">
        <f>F127</f>
        <v>495000</v>
      </c>
      <c r="F127" s="21">
        <v>495000</v>
      </c>
      <c r="G127" s="22">
        <v>0</v>
      </c>
      <c r="H127" s="522" t="s">
        <v>401</v>
      </c>
      <c r="I127" s="575" t="s">
        <v>391</v>
      </c>
      <c r="J127" s="547" t="s">
        <v>334</v>
      </c>
      <c r="K127" s="27">
        <v>495000</v>
      </c>
      <c r="L127" s="22">
        <f>F127-K127</f>
        <v>0</v>
      </c>
      <c r="M127" s="297">
        <v>495000</v>
      </c>
      <c r="N127" s="297">
        <f>F127-M127</f>
        <v>0</v>
      </c>
      <c r="O127" s="297">
        <f>M127*100/K127</f>
        <v>100</v>
      </c>
      <c r="P127" s="297"/>
      <c r="Q127" s="114"/>
    </row>
    <row r="128" spans="1:17" s="11" customFormat="1" ht="42" x14ac:dyDescent="0.2">
      <c r="A128" s="23"/>
      <c r="B128" s="24"/>
      <c r="C128" s="24"/>
      <c r="D128" s="25" t="s">
        <v>162</v>
      </c>
      <c r="E128" s="26">
        <f>G128</f>
        <v>1201900</v>
      </c>
      <c r="F128" s="26">
        <v>0</v>
      </c>
      <c r="G128" s="22">
        <v>1201900</v>
      </c>
      <c r="H128" s="627" t="s">
        <v>361</v>
      </c>
      <c r="I128" s="560"/>
      <c r="J128" s="530"/>
      <c r="K128" s="22"/>
      <c r="L128" s="22"/>
      <c r="M128" s="297">
        <f>108200+18450+18450+18450+18450+78050+18450+18450+31500+6570+13530+18450+37065+2000+15000+17600+18450+37065+13530+900+18450+18450+18450+18450+12300+12300</f>
        <v>607010</v>
      </c>
      <c r="N128" s="297">
        <f>G128-M128</f>
        <v>594890</v>
      </c>
      <c r="O128" s="297">
        <f>M128*100/G128</f>
        <v>50.504201680672267</v>
      </c>
      <c r="P128" s="297"/>
      <c r="Q128" s="114" t="s">
        <v>39</v>
      </c>
    </row>
    <row r="129" spans="1:17" s="11" customFormat="1" ht="23.25" customHeight="1" x14ac:dyDescent="0.2">
      <c r="A129" s="12"/>
      <c r="B129" s="761" t="s">
        <v>46</v>
      </c>
      <c r="C129" s="761"/>
      <c r="D129" s="762"/>
      <c r="E129" s="50">
        <f>F129+G129</f>
        <v>2883000</v>
      </c>
      <c r="F129" s="50">
        <f>F130</f>
        <v>25000</v>
      </c>
      <c r="G129" s="50">
        <f>G130</f>
        <v>2858000</v>
      </c>
      <c r="H129" s="513"/>
      <c r="I129" s="566"/>
      <c r="J129" s="513"/>
      <c r="K129" s="50">
        <f t="shared" ref="K129:P129" si="52">K130</f>
        <v>25000</v>
      </c>
      <c r="L129" s="50">
        <f t="shared" si="52"/>
        <v>0</v>
      </c>
      <c r="M129" s="300">
        <f>M130</f>
        <v>1101636.97</v>
      </c>
      <c r="N129" s="300">
        <f t="shared" si="52"/>
        <v>1781363.03</v>
      </c>
      <c r="O129" s="300">
        <f>M129*100/E129</f>
        <v>38.211480055497745</v>
      </c>
      <c r="P129" s="300">
        <f t="shared" si="52"/>
        <v>0</v>
      </c>
      <c r="Q129" s="117"/>
    </row>
    <row r="130" spans="1:17" s="11" customFormat="1" ht="25.5" customHeight="1" x14ac:dyDescent="0.2">
      <c r="A130" s="28"/>
      <c r="B130" s="29"/>
      <c r="C130" s="763" t="s">
        <v>47</v>
      </c>
      <c r="D130" s="764"/>
      <c r="E130" s="15">
        <f>F130+G130</f>
        <v>2883000</v>
      </c>
      <c r="F130" s="15">
        <f>F131+F134+F135</f>
        <v>25000</v>
      </c>
      <c r="G130" s="15">
        <f>G131+G134+G135</f>
        <v>2858000</v>
      </c>
      <c r="H130" s="510"/>
      <c r="I130" s="559"/>
      <c r="J130" s="510"/>
      <c r="K130" s="15">
        <f t="shared" ref="K130:P130" si="53">K131+K134+K135</f>
        <v>25000</v>
      </c>
      <c r="L130" s="15">
        <f t="shared" si="53"/>
        <v>0</v>
      </c>
      <c r="M130" s="296">
        <f t="shared" si="53"/>
        <v>1101636.97</v>
      </c>
      <c r="N130" s="296">
        <f t="shared" si="53"/>
        <v>1781363.03</v>
      </c>
      <c r="O130" s="296">
        <f>M130*100/E130</f>
        <v>38.211480055497745</v>
      </c>
      <c r="P130" s="296">
        <f t="shared" si="53"/>
        <v>0</v>
      </c>
      <c r="Q130" s="113"/>
    </row>
    <row r="131" spans="1:17" s="11" customFormat="1" ht="42" customHeight="1" x14ac:dyDescent="0.2">
      <c r="A131" s="89"/>
      <c r="B131" s="90"/>
      <c r="C131" s="90"/>
      <c r="D131" s="55" t="s">
        <v>48</v>
      </c>
      <c r="E131" s="69">
        <f>F131+G131</f>
        <v>899900</v>
      </c>
      <c r="F131" s="69">
        <f>F132+F133</f>
        <v>25000</v>
      </c>
      <c r="G131" s="69">
        <f>G132+G133</f>
        <v>874900</v>
      </c>
      <c r="H131" s="514"/>
      <c r="I131" s="579"/>
      <c r="J131" s="550"/>
      <c r="K131" s="69">
        <f t="shared" ref="K131:N131" si="54">K132+K133</f>
        <v>25000</v>
      </c>
      <c r="L131" s="69">
        <f t="shared" si="54"/>
        <v>0</v>
      </c>
      <c r="M131" s="309">
        <f>M132+M133</f>
        <v>380966.97</v>
      </c>
      <c r="N131" s="309">
        <f t="shared" si="54"/>
        <v>518933.03</v>
      </c>
      <c r="O131" s="306">
        <f>M131*100/E131</f>
        <v>42.334367151905766</v>
      </c>
      <c r="P131" s="306"/>
      <c r="Q131" s="118" t="s">
        <v>14</v>
      </c>
    </row>
    <row r="132" spans="1:17" s="11" customFormat="1" ht="37.5" x14ac:dyDescent="0.2">
      <c r="A132" s="89"/>
      <c r="B132" s="90"/>
      <c r="C132" s="90"/>
      <c r="D132" s="55" t="s">
        <v>185</v>
      </c>
      <c r="E132" s="69"/>
      <c r="F132" s="56"/>
      <c r="G132" s="71">
        <v>874900</v>
      </c>
      <c r="H132" s="627" t="s">
        <v>361</v>
      </c>
      <c r="I132" s="574"/>
      <c r="J132" s="529"/>
      <c r="K132" s="71"/>
      <c r="L132" s="71"/>
      <c r="M132" s="306">
        <f>9935.48+4200+4766.66+26560+9354.83+120000+101510+13370+13000+10000+43720-450</f>
        <v>355966.97</v>
      </c>
      <c r="N132" s="306">
        <f>G132-M132</f>
        <v>518933.03</v>
      </c>
      <c r="O132" s="306">
        <f>M132*100/G132</f>
        <v>40.686589324494228</v>
      </c>
      <c r="P132" s="306"/>
      <c r="Q132" s="118"/>
    </row>
    <row r="133" spans="1:17" s="11" customFormat="1" ht="55.5" customHeight="1" x14ac:dyDescent="0.2">
      <c r="A133" s="620"/>
      <c r="B133" s="621"/>
      <c r="C133" s="621"/>
      <c r="D133" s="622" t="s">
        <v>251</v>
      </c>
      <c r="E133" s="623"/>
      <c r="F133" s="623">
        <v>25000</v>
      </c>
      <c r="G133" s="624"/>
      <c r="H133" s="628" t="s">
        <v>401</v>
      </c>
      <c r="I133" s="575" t="s">
        <v>399</v>
      </c>
      <c r="J133" s="547" t="s">
        <v>336</v>
      </c>
      <c r="K133" s="624">
        <v>25000</v>
      </c>
      <c r="L133" s="624">
        <f>F133-K133</f>
        <v>0</v>
      </c>
      <c r="M133" s="626">
        <v>25000</v>
      </c>
      <c r="N133" s="626">
        <f>F133-M133</f>
        <v>0</v>
      </c>
      <c r="O133" s="626">
        <f>M133*100/K133</f>
        <v>100</v>
      </c>
      <c r="P133" s="626"/>
      <c r="Q133" s="625"/>
    </row>
    <row r="134" spans="1:17" s="11" customFormat="1" ht="42" customHeight="1" x14ac:dyDescent="0.2">
      <c r="A134" s="17"/>
      <c r="B134" s="18"/>
      <c r="C134" s="18"/>
      <c r="D134" s="20" t="s">
        <v>49</v>
      </c>
      <c r="E134" s="69">
        <f>F134+G134</f>
        <v>910900</v>
      </c>
      <c r="F134" s="26">
        <v>0</v>
      </c>
      <c r="G134" s="27">
        <v>910900</v>
      </c>
      <c r="H134" s="627" t="s">
        <v>361</v>
      </c>
      <c r="I134" s="561"/>
      <c r="J134" s="511"/>
      <c r="K134" s="27"/>
      <c r="L134" s="27"/>
      <c r="M134" s="298">
        <f>280400+5900+23150+15000+95850+39995+10000+120650+10000+38100+10000-3250-10000</f>
        <v>635795</v>
      </c>
      <c r="N134" s="298">
        <f>G134-M134</f>
        <v>275105</v>
      </c>
      <c r="O134" s="298">
        <f>M134*100/G134</f>
        <v>69.798550883741356</v>
      </c>
      <c r="P134" s="298"/>
      <c r="Q134" s="112" t="s">
        <v>14</v>
      </c>
    </row>
    <row r="135" spans="1:17" s="9" customFormat="1" ht="59.25" customHeight="1" x14ac:dyDescent="0.2">
      <c r="A135" s="38"/>
      <c r="B135" s="39"/>
      <c r="C135" s="39"/>
      <c r="D135" s="37" t="s">
        <v>50</v>
      </c>
      <c r="E135" s="26">
        <f>F135+G135</f>
        <v>1072200</v>
      </c>
      <c r="F135" s="82">
        <v>0</v>
      </c>
      <c r="G135" s="82">
        <v>1072200</v>
      </c>
      <c r="H135" s="627" t="s">
        <v>361</v>
      </c>
      <c r="I135" s="580"/>
      <c r="J135" s="551"/>
      <c r="K135" s="82"/>
      <c r="L135" s="82"/>
      <c r="M135" s="318">
        <f>60200+11000+4945+8730</f>
        <v>84875</v>
      </c>
      <c r="N135" s="301">
        <f>G135-M135</f>
        <v>987325</v>
      </c>
      <c r="O135" s="298">
        <f>M135*100/G135</f>
        <v>7.9159671703040475</v>
      </c>
      <c r="P135" s="298"/>
      <c r="Q135" s="112" t="s">
        <v>51</v>
      </c>
    </row>
    <row r="136" spans="1:17" s="11" customFormat="1" ht="27" customHeight="1" x14ac:dyDescent="0.2">
      <c r="A136" s="44"/>
      <c r="B136" s="761" t="s">
        <v>52</v>
      </c>
      <c r="C136" s="761"/>
      <c r="D136" s="762"/>
      <c r="E136" s="50">
        <f>F136+G136</f>
        <v>2303300</v>
      </c>
      <c r="F136" s="50">
        <f>F137</f>
        <v>0</v>
      </c>
      <c r="G136" s="50">
        <f>G137</f>
        <v>2303300</v>
      </c>
      <c r="H136" s="513"/>
      <c r="I136" s="566"/>
      <c r="J136" s="513"/>
      <c r="K136" s="50">
        <f t="shared" ref="K136:P137" si="55">K137</f>
        <v>0</v>
      </c>
      <c r="L136" s="50">
        <f t="shared" si="55"/>
        <v>0</v>
      </c>
      <c r="M136" s="300">
        <f t="shared" si="55"/>
        <v>10500</v>
      </c>
      <c r="N136" s="300">
        <f t="shared" si="55"/>
        <v>2292800</v>
      </c>
      <c r="O136" s="300">
        <f>M136*100/G136</f>
        <v>0.45586766812833762</v>
      </c>
      <c r="P136" s="300">
        <f t="shared" si="55"/>
        <v>0</v>
      </c>
      <c r="Q136" s="116"/>
    </row>
    <row r="137" spans="1:17" s="11" customFormat="1" ht="44.25" customHeight="1" x14ac:dyDescent="0.2">
      <c r="A137" s="40"/>
      <c r="B137" s="41"/>
      <c r="C137" s="765" t="s">
        <v>163</v>
      </c>
      <c r="D137" s="766"/>
      <c r="E137" s="15">
        <f>F137+G137</f>
        <v>2303300</v>
      </c>
      <c r="F137" s="15">
        <f>F138</f>
        <v>0</v>
      </c>
      <c r="G137" s="15">
        <f>G138</f>
        <v>2303300</v>
      </c>
      <c r="H137" s="510"/>
      <c r="I137" s="559"/>
      <c r="J137" s="510"/>
      <c r="K137" s="15">
        <f t="shared" si="55"/>
        <v>0</v>
      </c>
      <c r="L137" s="15">
        <f t="shared" si="55"/>
        <v>0</v>
      </c>
      <c r="M137" s="296">
        <f t="shared" si="55"/>
        <v>10500</v>
      </c>
      <c r="N137" s="296">
        <f t="shared" si="55"/>
        <v>2292800</v>
      </c>
      <c r="O137" s="296">
        <f>M137*100/G137</f>
        <v>0.45586766812833762</v>
      </c>
      <c r="P137" s="296">
        <f t="shared" si="55"/>
        <v>0</v>
      </c>
      <c r="Q137" s="113"/>
    </row>
    <row r="138" spans="1:17" s="9" customFormat="1" ht="44.25" customHeight="1" x14ac:dyDescent="0.2">
      <c r="A138" s="38"/>
      <c r="B138" s="39"/>
      <c r="C138" s="76"/>
      <c r="D138" s="20" t="s">
        <v>164</v>
      </c>
      <c r="E138" s="26">
        <f>G138</f>
        <v>2303300</v>
      </c>
      <c r="F138" s="26">
        <v>0</v>
      </c>
      <c r="G138" s="22">
        <v>2303300</v>
      </c>
      <c r="H138" s="627" t="s">
        <v>361</v>
      </c>
      <c r="I138" s="560"/>
      <c r="J138" s="530"/>
      <c r="K138" s="22"/>
      <c r="L138" s="22"/>
      <c r="M138" s="297">
        <f>10500</f>
        <v>10500</v>
      </c>
      <c r="N138" s="297">
        <f>G138-M138</f>
        <v>2292800</v>
      </c>
      <c r="O138" s="297">
        <f>M138*100/G138</f>
        <v>0.45586766812833762</v>
      </c>
      <c r="P138" s="297"/>
      <c r="Q138" s="112" t="s">
        <v>53</v>
      </c>
    </row>
    <row r="139" spans="1:17" s="11" customFormat="1" ht="24" customHeight="1" x14ac:dyDescent="0.2">
      <c r="A139" s="770" t="s">
        <v>54</v>
      </c>
      <c r="B139" s="770"/>
      <c r="C139" s="770"/>
      <c r="D139" s="770"/>
      <c r="E139" s="91">
        <f>F139+G139</f>
        <v>23093875</v>
      </c>
      <c r="F139" s="91">
        <f>F140+F148+F153+F174</f>
        <v>4593875</v>
      </c>
      <c r="G139" s="91">
        <f>G140+G148+G153+G174</f>
        <v>18500000</v>
      </c>
      <c r="H139" s="525"/>
      <c r="I139" s="581"/>
      <c r="J139" s="525"/>
      <c r="K139" s="91">
        <f t="shared" ref="K139:P139" si="56">K140+K148+K153+K174</f>
        <v>4564185.9000000004</v>
      </c>
      <c r="L139" s="310">
        <f t="shared" si="56"/>
        <v>29689.099999999977</v>
      </c>
      <c r="M139" s="310">
        <f t="shared" si="56"/>
        <v>6480781</v>
      </c>
      <c r="N139" s="310">
        <f t="shared" si="56"/>
        <v>16486004.9</v>
      </c>
      <c r="O139" s="310">
        <f>M139*100/E139</f>
        <v>28.062769890284763</v>
      </c>
      <c r="P139" s="310">
        <f t="shared" si="56"/>
        <v>97400</v>
      </c>
      <c r="Q139" s="126"/>
    </row>
    <row r="140" spans="1:17" s="11" customFormat="1" ht="47.25" customHeight="1" x14ac:dyDescent="0.2">
      <c r="A140" s="44"/>
      <c r="B140" s="761" t="s">
        <v>55</v>
      </c>
      <c r="C140" s="761"/>
      <c r="D140" s="762"/>
      <c r="E140" s="50">
        <f>F140+G140</f>
        <v>4593875</v>
      </c>
      <c r="F140" s="50">
        <f>F141+F143</f>
        <v>4593875</v>
      </c>
      <c r="G140" s="50">
        <f>G141+G143</f>
        <v>0</v>
      </c>
      <c r="H140" s="513"/>
      <c r="I140" s="566"/>
      <c r="J140" s="513"/>
      <c r="K140" s="50">
        <f t="shared" ref="K140:P140" si="57">K141+K143</f>
        <v>4564185.9000000004</v>
      </c>
      <c r="L140" s="300">
        <f t="shared" si="57"/>
        <v>29689.099999999977</v>
      </c>
      <c r="M140" s="300">
        <f t="shared" si="57"/>
        <v>790000</v>
      </c>
      <c r="N140" s="300">
        <f t="shared" si="57"/>
        <v>3774185.9</v>
      </c>
      <c r="O140" s="300">
        <v>0</v>
      </c>
      <c r="P140" s="300">
        <f t="shared" si="57"/>
        <v>0</v>
      </c>
      <c r="Q140" s="117"/>
    </row>
    <row r="141" spans="1:17" s="11" customFormat="1" ht="24" customHeight="1" x14ac:dyDescent="0.2">
      <c r="A141" s="28"/>
      <c r="B141" s="29"/>
      <c r="C141" s="763" t="s">
        <v>56</v>
      </c>
      <c r="D141" s="764"/>
      <c r="E141" s="92">
        <f>F141+G141</f>
        <v>1467500</v>
      </c>
      <c r="F141" s="92">
        <f>F142</f>
        <v>1467500</v>
      </c>
      <c r="G141" s="92">
        <f>G142</f>
        <v>0</v>
      </c>
      <c r="H141" s="526"/>
      <c r="I141" s="582"/>
      <c r="J141" s="526"/>
      <c r="K141" s="92">
        <f t="shared" ref="K141:N141" si="58">K142</f>
        <v>1467500</v>
      </c>
      <c r="L141" s="92">
        <f t="shared" si="58"/>
        <v>0</v>
      </c>
      <c r="M141" s="311">
        <f t="shared" si="58"/>
        <v>0</v>
      </c>
      <c r="N141" s="311">
        <f t="shared" si="58"/>
        <v>1467500</v>
      </c>
      <c r="O141" s="311">
        <f>M141*100/K141</f>
        <v>0</v>
      </c>
      <c r="P141" s="311"/>
      <c r="Q141" s="113"/>
    </row>
    <row r="142" spans="1:17" s="9" customFormat="1" ht="69" x14ac:dyDescent="0.2">
      <c r="A142" s="38"/>
      <c r="B142" s="39"/>
      <c r="C142" s="76"/>
      <c r="D142" s="20" t="s">
        <v>287</v>
      </c>
      <c r="E142" s="26">
        <f>F142</f>
        <v>1467500</v>
      </c>
      <c r="F142" s="26">
        <f>1980000-512500</f>
        <v>1467500</v>
      </c>
      <c r="G142" s="22">
        <v>0</v>
      </c>
      <c r="H142" s="628" t="s">
        <v>374</v>
      </c>
      <c r="I142" s="575" t="s">
        <v>437</v>
      </c>
      <c r="J142" s="548" t="s">
        <v>438</v>
      </c>
      <c r="K142" s="22">
        <v>1467500</v>
      </c>
      <c r="L142" s="22">
        <f>F142-K142</f>
        <v>0</v>
      </c>
      <c r="M142" s="297"/>
      <c r="N142" s="297">
        <f>K142-M142</f>
        <v>1467500</v>
      </c>
      <c r="O142" s="297">
        <f>M142*100/K142</f>
        <v>0</v>
      </c>
      <c r="P142" s="297"/>
      <c r="Q142" s="332" t="s">
        <v>288</v>
      </c>
    </row>
    <row r="143" spans="1:17" s="11" customFormat="1" ht="24.75" customHeight="1" x14ac:dyDescent="0.2">
      <c r="A143" s="93"/>
      <c r="B143" s="94"/>
      <c r="C143" s="780" t="s">
        <v>58</v>
      </c>
      <c r="D143" s="781"/>
      <c r="E143" s="95">
        <f>F143+G143</f>
        <v>3126375</v>
      </c>
      <c r="F143" s="15">
        <f>F144</f>
        <v>3126375</v>
      </c>
      <c r="G143" s="15">
        <f>G144</f>
        <v>0</v>
      </c>
      <c r="H143" s="527"/>
      <c r="I143" s="583"/>
      <c r="J143" s="527"/>
      <c r="K143" s="95">
        <f t="shared" ref="K143:P143" si="59">K144</f>
        <v>3096685.9</v>
      </c>
      <c r="L143" s="312">
        <f t="shared" si="59"/>
        <v>29689.099999999977</v>
      </c>
      <c r="M143" s="312">
        <f t="shared" si="59"/>
        <v>790000</v>
      </c>
      <c r="N143" s="312">
        <f t="shared" si="59"/>
        <v>2306685.9</v>
      </c>
      <c r="O143" s="312">
        <v>0</v>
      </c>
      <c r="P143" s="312">
        <f t="shared" si="59"/>
        <v>0</v>
      </c>
      <c r="Q143" s="119"/>
    </row>
    <row r="144" spans="1:17" s="11" customFormat="1" ht="23.25" customHeight="1" x14ac:dyDescent="0.2">
      <c r="A144" s="38"/>
      <c r="B144" s="39"/>
      <c r="C144" s="107"/>
      <c r="D144" s="37" t="s">
        <v>60</v>
      </c>
      <c r="E144" s="83">
        <f>F144+G144</f>
        <v>3126375</v>
      </c>
      <c r="F144" s="83">
        <f>F145+F146+F147</f>
        <v>3126375</v>
      </c>
      <c r="G144" s="83">
        <f>G145+G146+G147</f>
        <v>0</v>
      </c>
      <c r="H144" s="528"/>
      <c r="I144" s="564"/>
      <c r="J144" s="528"/>
      <c r="K144" s="83">
        <f t="shared" ref="K144:N144" si="60">K145+K146+K147</f>
        <v>3096685.9</v>
      </c>
      <c r="L144" s="314">
        <f t="shared" si="60"/>
        <v>29689.099999999977</v>
      </c>
      <c r="M144" s="314">
        <f t="shared" si="60"/>
        <v>790000</v>
      </c>
      <c r="N144" s="314">
        <f t="shared" si="60"/>
        <v>2306685.9</v>
      </c>
      <c r="O144" s="318">
        <f>M144*100/K144</f>
        <v>25.511144026586617</v>
      </c>
      <c r="P144" s="334"/>
      <c r="Q144" s="335"/>
    </row>
    <row r="145" spans="1:17" s="11" customFormat="1" ht="75" x14ac:dyDescent="0.2">
      <c r="A145" s="38"/>
      <c r="B145" s="39"/>
      <c r="C145" s="107"/>
      <c r="D145" s="37" t="s">
        <v>289</v>
      </c>
      <c r="E145" s="82">
        <f>F145</f>
        <v>1650000</v>
      </c>
      <c r="F145" s="336">
        <f>1980000-330000</f>
        <v>1650000</v>
      </c>
      <c r="G145" s="82">
        <v>0</v>
      </c>
      <c r="H145" s="628" t="s">
        <v>374</v>
      </c>
      <c r="I145" s="669" t="s">
        <v>472</v>
      </c>
      <c r="J145" s="629" t="s">
        <v>439</v>
      </c>
      <c r="K145" s="337">
        <v>1650000</v>
      </c>
      <c r="L145" s="337">
        <f>F145-K145</f>
        <v>0</v>
      </c>
      <c r="M145" s="334"/>
      <c r="N145" s="334">
        <f>K145-M145</f>
        <v>1650000</v>
      </c>
      <c r="O145" s="318">
        <f>M145*100/K145</f>
        <v>0</v>
      </c>
      <c r="P145" s="334"/>
      <c r="Q145" s="338" t="s">
        <v>179</v>
      </c>
    </row>
    <row r="146" spans="1:17" s="11" customFormat="1" ht="63" x14ac:dyDescent="0.2">
      <c r="A146" s="38"/>
      <c r="B146" s="39"/>
      <c r="C146" s="107"/>
      <c r="D146" s="37" t="s">
        <v>290</v>
      </c>
      <c r="E146" s="82">
        <f>F146</f>
        <v>790000</v>
      </c>
      <c r="F146" s="336">
        <f>792000-2000</f>
        <v>790000</v>
      </c>
      <c r="G146" s="82">
        <v>0</v>
      </c>
      <c r="H146" s="628" t="s">
        <v>401</v>
      </c>
      <c r="I146" s="655" t="s">
        <v>458</v>
      </c>
      <c r="J146" s="656" t="s">
        <v>473</v>
      </c>
      <c r="K146" s="337">
        <v>790000</v>
      </c>
      <c r="L146" s="337">
        <f>F146-K146</f>
        <v>0</v>
      </c>
      <c r="M146" s="334">
        <v>790000</v>
      </c>
      <c r="N146" s="334">
        <f t="shared" ref="N146:N147" si="61">K146-M146</f>
        <v>0</v>
      </c>
      <c r="O146" s="318">
        <f t="shared" ref="O146:O147" si="62">M146*100/K146</f>
        <v>100</v>
      </c>
      <c r="P146" s="334"/>
      <c r="Q146" s="338" t="s">
        <v>24</v>
      </c>
    </row>
    <row r="147" spans="1:17" s="11" customFormat="1" ht="56.25" x14ac:dyDescent="0.2">
      <c r="A147" s="47"/>
      <c r="B147" s="48"/>
      <c r="C147" s="48"/>
      <c r="D147" s="96" t="s">
        <v>59</v>
      </c>
      <c r="E147" s="35">
        <f>F147</f>
        <v>686375</v>
      </c>
      <c r="F147" s="60">
        <f>990000-303625</f>
        <v>686375</v>
      </c>
      <c r="G147" s="21">
        <v>0</v>
      </c>
      <c r="H147" s="628" t="s">
        <v>374</v>
      </c>
      <c r="I147" s="655" t="s">
        <v>459</v>
      </c>
      <c r="J147" s="657" t="s">
        <v>460</v>
      </c>
      <c r="K147" s="319">
        <v>656685.9</v>
      </c>
      <c r="L147" s="334">
        <f>F147-K147</f>
        <v>29689.099999999977</v>
      </c>
      <c r="M147" s="319"/>
      <c r="N147" s="334">
        <f t="shared" si="61"/>
        <v>656685.9</v>
      </c>
      <c r="O147" s="318">
        <f t="shared" si="62"/>
        <v>0</v>
      </c>
      <c r="P147" s="318"/>
      <c r="Q147" s="333" t="s">
        <v>291</v>
      </c>
    </row>
    <row r="148" spans="1:17" s="11" customFormat="1" ht="42.75" customHeight="1" x14ac:dyDescent="0.2">
      <c r="A148" s="44"/>
      <c r="B148" s="761" t="s">
        <v>61</v>
      </c>
      <c r="C148" s="761"/>
      <c r="D148" s="762"/>
      <c r="E148" s="72">
        <f>F148+G148</f>
        <v>2000000</v>
      </c>
      <c r="F148" s="97">
        <f>F149+F151</f>
        <v>0</v>
      </c>
      <c r="G148" s="50">
        <f>G149+G151</f>
        <v>2000000</v>
      </c>
      <c r="H148" s="513"/>
      <c r="I148" s="566"/>
      <c r="J148" s="513"/>
      <c r="K148" s="50">
        <f t="shared" ref="K148:P148" si="63">K149+K151</f>
        <v>0</v>
      </c>
      <c r="L148" s="50">
        <f t="shared" si="63"/>
        <v>0</v>
      </c>
      <c r="M148" s="300">
        <f t="shared" si="63"/>
        <v>97760</v>
      </c>
      <c r="N148" s="324">
        <f t="shared" si="63"/>
        <v>1879840</v>
      </c>
      <c r="O148" s="325">
        <f t="shared" ref="O148:O155" si="64">M148*100/G148</f>
        <v>4.8879999999999999</v>
      </c>
      <c r="P148" s="324">
        <f t="shared" si="63"/>
        <v>22400</v>
      </c>
      <c r="Q148" s="127"/>
    </row>
    <row r="149" spans="1:17" s="11" customFormat="1" ht="44.25" customHeight="1" x14ac:dyDescent="0.2">
      <c r="A149" s="40"/>
      <c r="B149" s="41"/>
      <c r="C149" s="763" t="s">
        <v>62</v>
      </c>
      <c r="D149" s="764"/>
      <c r="E149" s="15">
        <f>F149+G149</f>
        <v>1000000</v>
      </c>
      <c r="F149" s="15">
        <f>F150</f>
        <v>0</v>
      </c>
      <c r="G149" s="15">
        <f>G150</f>
        <v>1000000</v>
      </c>
      <c r="H149" s="510"/>
      <c r="I149" s="559"/>
      <c r="J149" s="510"/>
      <c r="K149" s="15">
        <f t="shared" ref="K149:P149" si="65">K150</f>
        <v>0</v>
      </c>
      <c r="L149" s="15">
        <f t="shared" si="65"/>
        <v>0</v>
      </c>
      <c r="M149" s="296">
        <f t="shared" si="65"/>
        <v>0</v>
      </c>
      <c r="N149" s="296">
        <f t="shared" si="65"/>
        <v>1000000</v>
      </c>
      <c r="O149" s="296">
        <f t="shared" si="64"/>
        <v>0</v>
      </c>
      <c r="P149" s="296">
        <f t="shared" si="65"/>
        <v>0</v>
      </c>
      <c r="Q149" s="113"/>
    </row>
    <row r="150" spans="1:17" s="9" customFormat="1" ht="45" customHeight="1" x14ac:dyDescent="0.2">
      <c r="A150" s="38"/>
      <c r="B150" s="39"/>
      <c r="C150" s="76"/>
      <c r="D150" s="20" t="s">
        <v>63</v>
      </c>
      <c r="E150" s="26">
        <f>G150</f>
        <v>1000000</v>
      </c>
      <c r="F150" s="26">
        <v>0</v>
      </c>
      <c r="G150" s="27">
        <v>1000000</v>
      </c>
      <c r="H150" s="538" t="s">
        <v>388</v>
      </c>
      <c r="I150" s="561"/>
      <c r="J150" s="511"/>
      <c r="K150" s="27"/>
      <c r="L150" s="27"/>
      <c r="M150" s="298"/>
      <c r="N150" s="298">
        <f>G150-M150</f>
        <v>1000000</v>
      </c>
      <c r="O150" s="298">
        <f t="shared" si="64"/>
        <v>0</v>
      </c>
      <c r="P150" s="298"/>
      <c r="Q150" s="112" t="s">
        <v>57</v>
      </c>
    </row>
    <row r="151" spans="1:17" s="11" customFormat="1" x14ac:dyDescent="0.2">
      <c r="A151" s="40"/>
      <c r="B151" s="41"/>
      <c r="C151" s="765" t="s">
        <v>64</v>
      </c>
      <c r="D151" s="766"/>
      <c r="E151" s="15">
        <f>F151+G151</f>
        <v>1000000</v>
      </c>
      <c r="F151" s="15">
        <f>F152</f>
        <v>0</v>
      </c>
      <c r="G151" s="15">
        <f>G152</f>
        <v>1000000</v>
      </c>
      <c r="H151" s="510"/>
      <c r="I151" s="559"/>
      <c r="J151" s="510"/>
      <c r="K151" s="15">
        <f t="shared" ref="K151:P151" si="66">K152</f>
        <v>0</v>
      </c>
      <c r="L151" s="15">
        <f t="shared" si="66"/>
        <v>0</v>
      </c>
      <c r="M151" s="296">
        <f t="shared" si="66"/>
        <v>97760</v>
      </c>
      <c r="N151" s="296">
        <f t="shared" si="66"/>
        <v>879840</v>
      </c>
      <c r="O151" s="322">
        <f t="shared" si="64"/>
        <v>9.7759999999999998</v>
      </c>
      <c r="P151" s="296">
        <f t="shared" si="66"/>
        <v>22400</v>
      </c>
      <c r="Q151" s="128"/>
    </row>
    <row r="152" spans="1:17" s="9" customFormat="1" ht="37.5" x14ac:dyDescent="0.2">
      <c r="A152" s="38"/>
      <c r="B152" s="39"/>
      <c r="C152" s="76"/>
      <c r="D152" s="20" t="s">
        <v>65</v>
      </c>
      <c r="E152" s="26">
        <f>G152</f>
        <v>1000000</v>
      </c>
      <c r="F152" s="26">
        <v>0</v>
      </c>
      <c r="G152" s="27">
        <v>1000000</v>
      </c>
      <c r="H152" s="627" t="s">
        <v>361</v>
      </c>
      <c r="I152" s="561"/>
      <c r="J152" s="511"/>
      <c r="K152" s="27"/>
      <c r="L152" s="27"/>
      <c r="M152" s="298">
        <f>97760</f>
        <v>97760</v>
      </c>
      <c r="N152" s="298">
        <f>G152-M152-P152</f>
        <v>879840</v>
      </c>
      <c r="O152" s="298">
        <f t="shared" si="64"/>
        <v>9.7759999999999998</v>
      </c>
      <c r="P152" s="298">
        <v>22400</v>
      </c>
      <c r="Q152" s="625" t="s">
        <v>292</v>
      </c>
    </row>
    <row r="153" spans="1:17" s="11" customFormat="1" ht="25.5" customHeight="1" x14ac:dyDescent="0.2">
      <c r="A153" s="44"/>
      <c r="B153" s="761" t="s">
        <v>66</v>
      </c>
      <c r="C153" s="761"/>
      <c r="D153" s="762"/>
      <c r="E153" s="50">
        <f>F153+G153</f>
        <v>12500000</v>
      </c>
      <c r="F153" s="50">
        <f>F154</f>
        <v>0</v>
      </c>
      <c r="G153" s="50">
        <f>G154</f>
        <v>12500000</v>
      </c>
      <c r="H153" s="513"/>
      <c r="I153" s="566"/>
      <c r="J153" s="513"/>
      <c r="K153" s="50">
        <f t="shared" ref="K153:P153" si="67">K154</f>
        <v>0</v>
      </c>
      <c r="L153" s="50">
        <f t="shared" si="67"/>
        <v>0</v>
      </c>
      <c r="M153" s="300">
        <f t="shared" si="67"/>
        <v>5111771</v>
      </c>
      <c r="N153" s="300">
        <f t="shared" si="67"/>
        <v>7388229</v>
      </c>
      <c r="O153" s="300">
        <f t="shared" si="64"/>
        <v>40.894168000000001</v>
      </c>
      <c r="P153" s="300">
        <f t="shared" si="67"/>
        <v>0</v>
      </c>
      <c r="Q153" s="117"/>
    </row>
    <row r="154" spans="1:17" s="11" customFormat="1" ht="43.5" customHeight="1" x14ac:dyDescent="0.2">
      <c r="A154" s="40"/>
      <c r="B154" s="41"/>
      <c r="C154" s="765" t="s">
        <v>67</v>
      </c>
      <c r="D154" s="766"/>
      <c r="E154" s="15">
        <f>F154+G154</f>
        <v>12500000</v>
      </c>
      <c r="F154" s="15">
        <f>SUM(F155:F173)</f>
        <v>0</v>
      </c>
      <c r="G154" s="15">
        <f>SUM(G155:G173)</f>
        <v>12500000</v>
      </c>
      <c r="H154" s="510"/>
      <c r="I154" s="559"/>
      <c r="J154" s="510"/>
      <c r="K154" s="15">
        <f t="shared" ref="K154:P154" si="68">SUM(K155:K173)</f>
        <v>0</v>
      </c>
      <c r="L154" s="15">
        <f t="shared" si="68"/>
        <v>0</v>
      </c>
      <c r="M154" s="296">
        <f t="shared" si="68"/>
        <v>5111771</v>
      </c>
      <c r="N154" s="296">
        <f t="shared" si="68"/>
        <v>7388229</v>
      </c>
      <c r="O154" s="296">
        <f t="shared" si="64"/>
        <v>40.894168000000001</v>
      </c>
      <c r="P154" s="296">
        <f t="shared" si="68"/>
        <v>0</v>
      </c>
      <c r="Q154" s="113"/>
    </row>
    <row r="155" spans="1:17" s="11" customFormat="1" ht="37.5" x14ac:dyDescent="0.2">
      <c r="A155" s="98"/>
      <c r="B155" s="99"/>
      <c r="C155" s="99"/>
      <c r="D155" s="100" t="s">
        <v>68</v>
      </c>
      <c r="E155" s="101">
        <f>G155</f>
        <v>287000</v>
      </c>
      <c r="F155" s="101">
        <v>0</v>
      </c>
      <c r="G155" s="102">
        <v>287000</v>
      </c>
      <c r="H155" s="627" t="s">
        <v>361</v>
      </c>
      <c r="I155" s="584"/>
      <c r="J155" s="552"/>
      <c r="K155" s="102"/>
      <c r="L155" s="102"/>
      <c r="M155" s="313">
        <f>177000+24000+23500</f>
        <v>224500</v>
      </c>
      <c r="N155" s="313">
        <f>G155-M155</f>
        <v>62500</v>
      </c>
      <c r="O155" s="313">
        <f t="shared" si="64"/>
        <v>78.222996515679441</v>
      </c>
      <c r="P155" s="313"/>
      <c r="Q155" s="129" t="s">
        <v>69</v>
      </c>
    </row>
    <row r="156" spans="1:17" s="11" customFormat="1" ht="31.5" x14ac:dyDescent="0.2">
      <c r="A156" s="23"/>
      <c r="B156" s="24"/>
      <c r="C156" s="24"/>
      <c r="D156" s="25" t="s">
        <v>70</v>
      </c>
      <c r="E156" s="101">
        <f t="shared" ref="E156:E173" si="69">G156</f>
        <v>100000</v>
      </c>
      <c r="F156" s="21">
        <v>0</v>
      </c>
      <c r="G156" s="22">
        <v>100000</v>
      </c>
      <c r="H156" s="627" t="s">
        <v>401</v>
      </c>
      <c r="I156" s="560"/>
      <c r="J156" s="530"/>
      <c r="K156" s="22"/>
      <c r="L156" s="22"/>
      <c r="M156" s="297">
        <f>72600+27400</f>
        <v>100000</v>
      </c>
      <c r="N156" s="313">
        <f t="shared" ref="N156:N173" si="70">G156-M156</f>
        <v>0</v>
      </c>
      <c r="O156" s="313">
        <f t="shared" ref="O156:O173" si="71">M156*100/G156</f>
        <v>100</v>
      </c>
      <c r="P156" s="302"/>
      <c r="Q156" s="114" t="s">
        <v>69</v>
      </c>
    </row>
    <row r="157" spans="1:17" s="11" customFormat="1" ht="42" x14ac:dyDescent="0.2">
      <c r="A157" s="89"/>
      <c r="B157" s="90"/>
      <c r="C157" s="90"/>
      <c r="D157" s="55" t="s">
        <v>85</v>
      </c>
      <c r="E157" s="101">
        <f t="shared" si="69"/>
        <v>430000</v>
      </c>
      <c r="F157" s="69">
        <v>0</v>
      </c>
      <c r="G157" s="70">
        <v>430000</v>
      </c>
      <c r="H157" s="627" t="s">
        <v>361</v>
      </c>
      <c r="I157" s="574"/>
      <c r="J157" s="529"/>
      <c r="K157" s="71"/>
      <c r="L157" s="71"/>
      <c r="M157" s="306"/>
      <c r="N157" s="313">
        <f t="shared" si="70"/>
        <v>430000</v>
      </c>
      <c r="O157" s="313">
        <f t="shared" si="71"/>
        <v>0</v>
      </c>
      <c r="P157" s="306"/>
      <c r="Q157" s="118" t="s">
        <v>69</v>
      </c>
    </row>
    <row r="158" spans="1:17" s="11" customFormat="1" ht="37.5" x14ac:dyDescent="0.2">
      <c r="A158" s="620"/>
      <c r="B158" s="621"/>
      <c r="C158" s="621"/>
      <c r="D158" s="622" t="s">
        <v>86</v>
      </c>
      <c r="E158" s="623">
        <f t="shared" si="69"/>
        <v>500000</v>
      </c>
      <c r="F158" s="623">
        <v>0</v>
      </c>
      <c r="G158" s="624">
        <v>500000</v>
      </c>
      <c r="H158" s="538" t="s">
        <v>388</v>
      </c>
      <c r="I158" s="561"/>
      <c r="J158" s="511"/>
      <c r="K158" s="624"/>
      <c r="L158" s="624"/>
      <c r="M158" s="626"/>
      <c r="N158" s="626">
        <f t="shared" si="70"/>
        <v>500000</v>
      </c>
      <c r="O158" s="626">
        <f t="shared" si="71"/>
        <v>0</v>
      </c>
      <c r="P158" s="626"/>
      <c r="Q158" s="625" t="s">
        <v>24</v>
      </c>
    </row>
    <row r="159" spans="1:17" s="11" customFormat="1" ht="27" customHeight="1" x14ac:dyDescent="0.2">
      <c r="A159" s="17"/>
      <c r="B159" s="18"/>
      <c r="C159" s="18"/>
      <c r="D159" s="103" t="s">
        <v>71</v>
      </c>
      <c r="E159" s="101">
        <f t="shared" si="69"/>
        <v>500000</v>
      </c>
      <c r="F159" s="26">
        <v>0</v>
      </c>
      <c r="G159" s="27">
        <v>500000</v>
      </c>
      <c r="H159" s="538" t="s">
        <v>401</v>
      </c>
      <c r="I159" s="561"/>
      <c r="J159" s="511"/>
      <c r="K159" s="27"/>
      <c r="L159" s="27"/>
      <c r="M159" s="298">
        <v>500000</v>
      </c>
      <c r="N159" s="313">
        <f t="shared" si="70"/>
        <v>0</v>
      </c>
      <c r="O159" s="313">
        <f t="shared" si="71"/>
        <v>100</v>
      </c>
      <c r="P159" s="306"/>
      <c r="Q159" s="112" t="s">
        <v>179</v>
      </c>
    </row>
    <row r="160" spans="1:17" s="11" customFormat="1" ht="35.25" customHeight="1" x14ac:dyDescent="0.2">
      <c r="A160" s="23"/>
      <c r="B160" s="24"/>
      <c r="C160" s="24"/>
      <c r="D160" s="106" t="s">
        <v>72</v>
      </c>
      <c r="E160" s="26">
        <f t="shared" si="69"/>
        <v>500000</v>
      </c>
      <c r="F160" s="21">
        <v>0</v>
      </c>
      <c r="G160" s="22">
        <v>500000</v>
      </c>
      <c r="H160" s="538" t="s">
        <v>361</v>
      </c>
      <c r="I160" s="560"/>
      <c r="J160" s="530"/>
      <c r="K160" s="22"/>
      <c r="L160" s="22"/>
      <c r="M160" s="297"/>
      <c r="N160" s="298">
        <f t="shared" si="70"/>
        <v>500000</v>
      </c>
      <c r="O160" s="298">
        <f t="shared" si="71"/>
        <v>0</v>
      </c>
      <c r="P160" s="301"/>
      <c r="Q160" s="130" t="s">
        <v>26</v>
      </c>
    </row>
    <row r="161" spans="1:17" s="11" customFormat="1" x14ac:dyDescent="0.2">
      <c r="A161" s="17"/>
      <c r="B161" s="18"/>
      <c r="C161" s="18"/>
      <c r="D161" s="103" t="s">
        <v>73</v>
      </c>
      <c r="E161" s="101">
        <f t="shared" si="69"/>
        <v>500000</v>
      </c>
      <c r="F161" s="26">
        <v>0</v>
      </c>
      <c r="G161" s="27">
        <v>500000</v>
      </c>
      <c r="H161" s="627" t="s">
        <v>401</v>
      </c>
      <c r="I161" s="561"/>
      <c r="J161" s="511"/>
      <c r="K161" s="27"/>
      <c r="L161" s="27"/>
      <c r="M161" s="298">
        <f>50000+100000+50000+100000+100000+100000</f>
        <v>500000</v>
      </c>
      <c r="N161" s="313">
        <f t="shared" si="70"/>
        <v>0</v>
      </c>
      <c r="O161" s="313">
        <f t="shared" si="71"/>
        <v>100</v>
      </c>
      <c r="P161" s="301"/>
      <c r="Q161" s="131" t="s">
        <v>27</v>
      </c>
    </row>
    <row r="162" spans="1:17" s="11" customFormat="1" ht="31.5" x14ac:dyDescent="0.2">
      <c r="A162" s="23"/>
      <c r="B162" s="24"/>
      <c r="C162" s="24"/>
      <c r="D162" s="25" t="s">
        <v>84</v>
      </c>
      <c r="E162" s="101">
        <f t="shared" si="69"/>
        <v>400000</v>
      </c>
      <c r="F162" s="21">
        <v>0</v>
      </c>
      <c r="G162" s="22">
        <v>400000</v>
      </c>
      <c r="H162" s="627" t="s">
        <v>401</v>
      </c>
      <c r="I162" s="560"/>
      <c r="J162" s="530"/>
      <c r="K162" s="22"/>
      <c r="L162" s="22"/>
      <c r="M162" s="297">
        <f>60000+64200+3100+240000+32400</f>
        <v>399700</v>
      </c>
      <c r="N162" s="313">
        <f t="shared" si="70"/>
        <v>300</v>
      </c>
      <c r="O162" s="313">
        <v>100</v>
      </c>
      <c r="P162" s="302"/>
      <c r="Q162" s="130" t="s">
        <v>26</v>
      </c>
    </row>
    <row r="163" spans="1:17" s="11" customFormat="1" x14ac:dyDescent="0.2">
      <c r="A163" s="17"/>
      <c r="B163" s="18"/>
      <c r="C163" s="18"/>
      <c r="D163" s="103" t="s">
        <v>74</v>
      </c>
      <c r="E163" s="101">
        <f t="shared" si="69"/>
        <v>500000</v>
      </c>
      <c r="F163" s="26">
        <v>0</v>
      </c>
      <c r="G163" s="27">
        <v>500000</v>
      </c>
      <c r="H163" s="538" t="s">
        <v>401</v>
      </c>
      <c r="I163" s="561"/>
      <c r="J163" s="511"/>
      <c r="K163" s="27"/>
      <c r="L163" s="27"/>
      <c r="M163" s="298">
        <v>500000</v>
      </c>
      <c r="N163" s="313">
        <f t="shared" si="70"/>
        <v>0</v>
      </c>
      <c r="O163" s="313">
        <f t="shared" si="71"/>
        <v>100</v>
      </c>
      <c r="P163" s="306"/>
      <c r="Q163" s="112" t="s">
        <v>179</v>
      </c>
    </row>
    <row r="164" spans="1:17" s="11" customFormat="1" ht="37.5" x14ac:dyDescent="0.2">
      <c r="A164" s="30"/>
      <c r="B164" s="31"/>
      <c r="C164" s="31"/>
      <c r="D164" s="104" t="s">
        <v>87</v>
      </c>
      <c r="E164" s="101">
        <f t="shared" si="69"/>
        <v>527500</v>
      </c>
      <c r="F164" s="21">
        <v>0</v>
      </c>
      <c r="G164" s="22">
        <v>527500</v>
      </c>
      <c r="H164" s="538" t="s">
        <v>388</v>
      </c>
      <c r="I164" s="585"/>
      <c r="J164" s="531"/>
      <c r="K164" s="63"/>
      <c r="L164" s="63"/>
      <c r="M164" s="302"/>
      <c r="N164" s="313">
        <f t="shared" si="70"/>
        <v>527500</v>
      </c>
      <c r="O164" s="313">
        <f t="shared" si="71"/>
        <v>0</v>
      </c>
      <c r="P164" s="306"/>
      <c r="Q164" s="118" t="s">
        <v>180</v>
      </c>
    </row>
    <row r="165" spans="1:17" s="11" customFormat="1" ht="42" x14ac:dyDescent="0.2">
      <c r="A165" s="17"/>
      <c r="B165" s="18"/>
      <c r="C165" s="18"/>
      <c r="D165" s="103" t="s">
        <v>165</v>
      </c>
      <c r="E165" s="101">
        <f t="shared" si="69"/>
        <v>422700</v>
      </c>
      <c r="F165" s="26">
        <v>0</v>
      </c>
      <c r="G165" s="27">
        <v>422700</v>
      </c>
      <c r="H165" s="538" t="s">
        <v>401</v>
      </c>
      <c r="I165" s="561"/>
      <c r="J165" s="511"/>
      <c r="K165" s="27"/>
      <c r="L165" s="27"/>
      <c r="M165" s="298">
        <f>422700</f>
        <v>422700</v>
      </c>
      <c r="N165" s="313">
        <f t="shared" si="70"/>
        <v>0</v>
      </c>
      <c r="O165" s="313">
        <f t="shared" si="71"/>
        <v>100</v>
      </c>
      <c r="P165" s="301"/>
      <c r="Q165" s="131" t="s">
        <v>181</v>
      </c>
    </row>
    <row r="166" spans="1:17" s="11" customFormat="1" ht="37.5" x14ac:dyDescent="0.2">
      <c r="A166" s="30"/>
      <c r="B166" s="31"/>
      <c r="C166" s="31"/>
      <c r="D166" s="104" t="s">
        <v>75</v>
      </c>
      <c r="E166" s="101">
        <f t="shared" si="69"/>
        <v>500000</v>
      </c>
      <c r="F166" s="21">
        <v>0</v>
      </c>
      <c r="G166" s="22">
        <v>500000</v>
      </c>
      <c r="H166" s="627" t="s">
        <v>361</v>
      </c>
      <c r="I166" s="560"/>
      <c r="J166" s="530"/>
      <c r="K166" s="22"/>
      <c r="L166" s="22"/>
      <c r="M166" s="297">
        <f>41500+64500+40000+8000+55000+6000+35000</f>
        <v>250000</v>
      </c>
      <c r="N166" s="313">
        <f t="shared" si="70"/>
        <v>250000</v>
      </c>
      <c r="O166" s="313">
        <f t="shared" si="71"/>
        <v>50</v>
      </c>
      <c r="P166" s="302"/>
      <c r="Q166" s="130" t="s">
        <v>182</v>
      </c>
    </row>
    <row r="167" spans="1:17" s="11" customFormat="1" ht="37.5" x14ac:dyDescent="0.2">
      <c r="A167" s="17"/>
      <c r="B167" s="18"/>
      <c r="C167" s="18"/>
      <c r="D167" s="103" t="s">
        <v>76</v>
      </c>
      <c r="E167" s="101">
        <f t="shared" si="69"/>
        <v>1332800</v>
      </c>
      <c r="F167" s="26">
        <v>0</v>
      </c>
      <c r="G167" s="27">
        <v>1332800</v>
      </c>
      <c r="H167" s="627" t="s">
        <v>361</v>
      </c>
      <c r="I167" s="561"/>
      <c r="J167" s="511"/>
      <c r="K167" s="27"/>
      <c r="L167" s="27"/>
      <c r="M167" s="298">
        <f>9000+28000+28000+40000+118800+3500+35000+35000+35000+29760+70000+70000+48000+35000+4200+35000+12000+35000+23811+25000+4800+10000</f>
        <v>734871</v>
      </c>
      <c r="N167" s="313">
        <f t="shared" si="70"/>
        <v>597929</v>
      </c>
      <c r="O167" s="313">
        <f t="shared" si="71"/>
        <v>55.13737995198079</v>
      </c>
      <c r="P167" s="306"/>
      <c r="Q167" s="131" t="s">
        <v>14</v>
      </c>
    </row>
    <row r="168" spans="1:17" s="11" customFormat="1" ht="37.5" x14ac:dyDescent="0.2">
      <c r="A168" s="17"/>
      <c r="B168" s="18"/>
      <c r="C168" s="18"/>
      <c r="D168" s="103" t="s">
        <v>77</v>
      </c>
      <c r="E168" s="101">
        <f t="shared" si="69"/>
        <v>1000000</v>
      </c>
      <c r="F168" s="26">
        <v>0</v>
      </c>
      <c r="G168" s="27">
        <v>1000000</v>
      </c>
      <c r="H168" s="538" t="s">
        <v>361</v>
      </c>
      <c r="I168" s="561"/>
      <c r="J168" s="511"/>
      <c r="K168" s="27"/>
      <c r="L168" s="27"/>
      <c r="M168" s="298">
        <f>80000</f>
        <v>80000</v>
      </c>
      <c r="N168" s="313">
        <f t="shared" si="70"/>
        <v>920000</v>
      </c>
      <c r="O168" s="313">
        <f t="shared" si="71"/>
        <v>8</v>
      </c>
      <c r="P168" s="306"/>
      <c r="Q168" s="131" t="s">
        <v>24</v>
      </c>
    </row>
    <row r="169" spans="1:17" s="11" customFormat="1" ht="37.5" x14ac:dyDescent="0.2">
      <c r="A169" s="620"/>
      <c r="B169" s="621"/>
      <c r="C169" s="621"/>
      <c r="D169" s="103" t="s">
        <v>78</v>
      </c>
      <c r="E169" s="623">
        <f t="shared" si="69"/>
        <v>1000000</v>
      </c>
      <c r="F169" s="623">
        <v>0</v>
      </c>
      <c r="G169" s="623">
        <v>1000000</v>
      </c>
      <c r="H169" s="538" t="s">
        <v>388</v>
      </c>
      <c r="I169" s="563"/>
      <c r="J169" s="514"/>
      <c r="K169" s="623"/>
      <c r="L169" s="623"/>
      <c r="M169" s="301"/>
      <c r="N169" s="626">
        <f t="shared" si="70"/>
        <v>1000000</v>
      </c>
      <c r="O169" s="626">
        <f t="shared" si="71"/>
        <v>0</v>
      </c>
      <c r="P169" s="626"/>
      <c r="Q169" s="131" t="s">
        <v>179</v>
      </c>
    </row>
    <row r="170" spans="1:17" s="11" customFormat="1" ht="37.5" x14ac:dyDescent="0.2">
      <c r="A170" s="620"/>
      <c r="B170" s="621"/>
      <c r="C170" s="621"/>
      <c r="D170" s="105" t="s">
        <v>79</v>
      </c>
      <c r="E170" s="623">
        <f t="shared" si="69"/>
        <v>1000000</v>
      </c>
      <c r="F170" s="62">
        <v>0</v>
      </c>
      <c r="G170" s="623">
        <v>1000000</v>
      </c>
      <c r="H170" s="538" t="s">
        <v>485</v>
      </c>
      <c r="I170" s="563"/>
      <c r="J170" s="514"/>
      <c r="K170" s="623"/>
      <c r="L170" s="623"/>
      <c r="M170" s="301"/>
      <c r="N170" s="626">
        <f t="shared" si="70"/>
        <v>1000000</v>
      </c>
      <c r="O170" s="626">
        <f t="shared" si="71"/>
        <v>0</v>
      </c>
      <c r="P170" s="626"/>
      <c r="Q170" s="131" t="s">
        <v>28</v>
      </c>
    </row>
    <row r="171" spans="1:17" s="11" customFormat="1" ht="37.5" x14ac:dyDescent="0.2">
      <c r="A171" s="17"/>
      <c r="B171" s="18"/>
      <c r="C171" s="18"/>
      <c r="D171" s="105" t="s">
        <v>80</v>
      </c>
      <c r="E171" s="101">
        <f t="shared" si="69"/>
        <v>1000000</v>
      </c>
      <c r="F171" s="62">
        <v>0</v>
      </c>
      <c r="G171" s="26">
        <v>1000000</v>
      </c>
      <c r="H171" s="538" t="s">
        <v>388</v>
      </c>
      <c r="I171" s="563"/>
      <c r="J171" s="514"/>
      <c r="K171" s="26"/>
      <c r="L171" s="26"/>
      <c r="M171" s="301"/>
      <c r="N171" s="313">
        <f t="shared" si="70"/>
        <v>1000000</v>
      </c>
      <c r="O171" s="301">
        <f t="shared" si="71"/>
        <v>0</v>
      </c>
      <c r="P171" s="306"/>
      <c r="Q171" s="112" t="s">
        <v>9</v>
      </c>
    </row>
    <row r="172" spans="1:17" s="11" customFormat="1" ht="31.5" x14ac:dyDescent="0.2">
      <c r="A172" s="17"/>
      <c r="B172" s="18"/>
      <c r="C172" s="18"/>
      <c r="D172" s="103" t="s">
        <v>81</v>
      </c>
      <c r="E172" s="101">
        <f t="shared" si="69"/>
        <v>1000000</v>
      </c>
      <c r="F172" s="26">
        <v>0</v>
      </c>
      <c r="G172" s="27">
        <v>1000000</v>
      </c>
      <c r="H172" s="627" t="s">
        <v>401</v>
      </c>
      <c r="I172" s="561"/>
      <c r="J172" s="511"/>
      <c r="K172" s="27"/>
      <c r="L172" s="27"/>
      <c r="M172" s="298">
        <v>1000000</v>
      </c>
      <c r="N172" s="313">
        <f t="shared" si="70"/>
        <v>0</v>
      </c>
      <c r="O172" s="626">
        <f t="shared" si="71"/>
        <v>100</v>
      </c>
      <c r="P172" s="301"/>
      <c r="Q172" s="112" t="s">
        <v>9</v>
      </c>
    </row>
    <row r="173" spans="1:17" s="11" customFormat="1" ht="47.25" x14ac:dyDescent="0.2">
      <c r="A173" s="23"/>
      <c r="B173" s="24"/>
      <c r="C173" s="24"/>
      <c r="D173" s="106" t="s">
        <v>456</v>
      </c>
      <c r="E173" s="101">
        <f t="shared" si="69"/>
        <v>1000000</v>
      </c>
      <c r="F173" s="26">
        <v>0</v>
      </c>
      <c r="G173" s="22">
        <v>1000000</v>
      </c>
      <c r="H173" s="538" t="s">
        <v>361</v>
      </c>
      <c r="I173" s="560"/>
      <c r="J173" s="530"/>
      <c r="K173" s="22"/>
      <c r="L173" s="22"/>
      <c r="M173" s="297">
        <f>170000+80000+35000+100000+15000</f>
        <v>400000</v>
      </c>
      <c r="N173" s="313">
        <f t="shared" si="70"/>
        <v>600000</v>
      </c>
      <c r="O173" s="313">
        <f t="shared" si="71"/>
        <v>40</v>
      </c>
      <c r="P173" s="306"/>
      <c r="Q173" s="131" t="s">
        <v>183</v>
      </c>
    </row>
    <row r="174" spans="1:17" s="11" customFormat="1" ht="45" customHeight="1" x14ac:dyDescent="0.2">
      <c r="A174" s="44"/>
      <c r="B174" s="761" t="s">
        <v>166</v>
      </c>
      <c r="C174" s="761"/>
      <c r="D174" s="762"/>
      <c r="E174" s="50">
        <f>F174+G174</f>
        <v>4000000</v>
      </c>
      <c r="F174" s="50">
        <f>F175+F177</f>
        <v>0</v>
      </c>
      <c r="G174" s="50">
        <f>G175+G177</f>
        <v>4000000</v>
      </c>
      <c r="H174" s="513"/>
      <c r="I174" s="566"/>
      <c r="J174" s="513"/>
      <c r="K174" s="50">
        <f t="shared" ref="K174:P174" si="72">K175+K177</f>
        <v>0</v>
      </c>
      <c r="L174" s="50">
        <f t="shared" si="72"/>
        <v>0</v>
      </c>
      <c r="M174" s="300">
        <f t="shared" si="72"/>
        <v>481250</v>
      </c>
      <c r="N174" s="300">
        <f t="shared" si="72"/>
        <v>3443750</v>
      </c>
      <c r="O174" s="300">
        <f t="shared" ref="O174:O179" si="73">M174*100/G174</f>
        <v>12.03125</v>
      </c>
      <c r="P174" s="324">
        <f t="shared" si="72"/>
        <v>75000</v>
      </c>
      <c r="Q174" s="117"/>
    </row>
    <row r="175" spans="1:17" s="11" customFormat="1" ht="23.25" customHeight="1" x14ac:dyDescent="0.2">
      <c r="A175" s="28"/>
      <c r="B175" s="29"/>
      <c r="C175" s="763" t="s">
        <v>167</v>
      </c>
      <c r="D175" s="764"/>
      <c r="E175" s="92">
        <f>F175+G175</f>
        <v>2000000</v>
      </c>
      <c r="F175" s="92">
        <f>F176</f>
        <v>0</v>
      </c>
      <c r="G175" s="92">
        <f>G176</f>
        <v>2000000</v>
      </c>
      <c r="H175" s="526"/>
      <c r="I175" s="582"/>
      <c r="J175" s="526"/>
      <c r="K175" s="92">
        <f t="shared" ref="K175:P175" si="74">K176</f>
        <v>0</v>
      </c>
      <c r="L175" s="92">
        <f t="shared" si="74"/>
        <v>0</v>
      </c>
      <c r="M175" s="311">
        <f t="shared" si="74"/>
        <v>481250</v>
      </c>
      <c r="N175" s="311">
        <f t="shared" si="74"/>
        <v>1443750</v>
      </c>
      <c r="O175" s="311">
        <f t="shared" si="73"/>
        <v>24.0625</v>
      </c>
      <c r="P175" s="311">
        <f t="shared" si="74"/>
        <v>75000</v>
      </c>
      <c r="Q175" s="113"/>
    </row>
    <row r="176" spans="1:17" s="9" customFormat="1" ht="37.5" x14ac:dyDescent="0.2">
      <c r="A176" s="38"/>
      <c r="B176" s="39"/>
      <c r="C176" s="107"/>
      <c r="D176" s="20" t="s">
        <v>168</v>
      </c>
      <c r="E176" s="82">
        <f>G176</f>
        <v>2000000</v>
      </c>
      <c r="F176" s="82">
        <v>0</v>
      </c>
      <c r="G176" s="83">
        <v>2000000</v>
      </c>
      <c r="H176" s="627" t="s">
        <v>361</v>
      </c>
      <c r="I176" s="564"/>
      <c r="J176" s="528"/>
      <c r="K176" s="83"/>
      <c r="L176" s="83"/>
      <c r="M176" s="314">
        <f>481250</f>
        <v>481250</v>
      </c>
      <c r="N176" s="314">
        <f>G176-M176-P176</f>
        <v>1443750</v>
      </c>
      <c r="O176" s="314">
        <f t="shared" si="73"/>
        <v>24.0625</v>
      </c>
      <c r="P176" s="314">
        <v>75000</v>
      </c>
      <c r="Q176" s="332" t="s">
        <v>354</v>
      </c>
    </row>
    <row r="177" spans="1:17" s="11" customFormat="1" ht="42" customHeight="1" x14ac:dyDescent="0.2">
      <c r="A177" s="40"/>
      <c r="B177" s="41"/>
      <c r="C177" s="765" t="s">
        <v>169</v>
      </c>
      <c r="D177" s="766"/>
      <c r="E177" s="68">
        <f>F177+G177</f>
        <v>2000000</v>
      </c>
      <c r="F177" s="68">
        <f>F178</f>
        <v>0</v>
      </c>
      <c r="G177" s="68">
        <f>G178</f>
        <v>2000000</v>
      </c>
      <c r="H177" s="532"/>
      <c r="I177" s="573"/>
      <c r="J177" s="532"/>
      <c r="K177" s="68">
        <f t="shared" ref="K177:P177" si="75">K178</f>
        <v>0</v>
      </c>
      <c r="L177" s="68">
        <f t="shared" si="75"/>
        <v>0</v>
      </c>
      <c r="M177" s="305">
        <f t="shared" si="75"/>
        <v>0</v>
      </c>
      <c r="N177" s="305">
        <f t="shared" si="75"/>
        <v>2000000</v>
      </c>
      <c r="O177" s="305">
        <f t="shared" si="73"/>
        <v>0</v>
      </c>
      <c r="P177" s="305">
        <f t="shared" si="75"/>
        <v>0</v>
      </c>
      <c r="Q177" s="119"/>
    </row>
    <row r="178" spans="1:17" s="9" customFormat="1" ht="36" customHeight="1" x14ac:dyDescent="0.2">
      <c r="A178" s="38"/>
      <c r="B178" s="39"/>
      <c r="C178" s="76"/>
      <c r="D178" s="37" t="s">
        <v>483</v>
      </c>
      <c r="E178" s="26">
        <f>G178</f>
        <v>2000000</v>
      </c>
      <c r="F178" s="62">
        <v>0</v>
      </c>
      <c r="G178" s="26">
        <v>2000000</v>
      </c>
      <c r="H178" s="538" t="s">
        <v>497</v>
      </c>
      <c r="I178" s="563"/>
      <c r="J178" s="514"/>
      <c r="K178" s="26"/>
      <c r="L178" s="26"/>
      <c r="M178" s="301"/>
      <c r="N178" s="301">
        <f>G178-M178</f>
        <v>2000000</v>
      </c>
      <c r="O178" s="301">
        <f t="shared" si="73"/>
        <v>0</v>
      </c>
      <c r="P178" s="301"/>
      <c r="Q178" s="112" t="s">
        <v>57</v>
      </c>
    </row>
    <row r="179" spans="1:17" s="11" customFormat="1" x14ac:dyDescent="0.2">
      <c r="A179" s="777" t="s">
        <v>82</v>
      </c>
      <c r="B179" s="778"/>
      <c r="C179" s="778"/>
      <c r="D179" s="779"/>
      <c r="E179" s="108">
        <v>8000000</v>
      </c>
      <c r="F179" s="108">
        <v>0</v>
      </c>
      <c r="G179" s="109">
        <v>8000000</v>
      </c>
      <c r="H179" s="533"/>
      <c r="I179" s="586"/>
      <c r="J179" s="533"/>
      <c r="K179" s="109"/>
      <c r="L179" s="109"/>
      <c r="M179" s="291">
        <f>' 8 ล้าน'!F67</f>
        <v>2353458.9700000002</v>
      </c>
      <c r="N179" s="291">
        <f>G179-M179</f>
        <v>5646541.0299999993</v>
      </c>
      <c r="O179" s="291">
        <f t="shared" si="73"/>
        <v>29.418237125000005</v>
      </c>
      <c r="P179" s="291"/>
      <c r="Q179" s="116"/>
    </row>
    <row r="180" spans="1:17" s="384" customFormat="1" ht="27.75" customHeight="1" x14ac:dyDescent="0.2">
      <c r="A180" s="753" t="s">
        <v>362</v>
      </c>
      <c r="B180" s="754"/>
      <c r="C180" s="754"/>
      <c r="D180" s="755"/>
      <c r="E180" s="387">
        <f>F180</f>
        <v>6737400</v>
      </c>
      <c r="F180" s="387">
        <f>F182+F187+F183+F184</f>
        <v>6737400</v>
      </c>
      <c r="G180" s="388"/>
      <c r="H180" s="534"/>
      <c r="I180" s="587"/>
      <c r="J180" s="534"/>
      <c r="K180" s="388">
        <f>K182+K187+K183+K184</f>
        <v>954000</v>
      </c>
      <c r="L180" s="388">
        <f>L182+L187+L183+L184</f>
        <v>700</v>
      </c>
      <c r="M180" s="388">
        <f>M182+M187+M183+M184</f>
        <v>954000</v>
      </c>
      <c r="N180" s="388">
        <f t="shared" ref="N180" si="76">N182+N187+N183+N184</f>
        <v>5782700</v>
      </c>
      <c r="O180" s="389">
        <f>M180*100/F180</f>
        <v>14.159764894469676</v>
      </c>
      <c r="P180" s="389">
        <f>P182+P187</f>
        <v>0</v>
      </c>
      <c r="Q180" s="216"/>
    </row>
    <row r="181" spans="1:17" s="384" customFormat="1" ht="27.75" customHeight="1" x14ac:dyDescent="0.2">
      <c r="A181" s="386"/>
      <c r="B181" s="754" t="s">
        <v>363</v>
      </c>
      <c r="C181" s="754"/>
      <c r="D181" s="755"/>
      <c r="E181" s="387"/>
      <c r="F181" s="387"/>
      <c r="G181" s="388"/>
      <c r="H181" s="534"/>
      <c r="I181" s="587"/>
      <c r="J181" s="534"/>
      <c r="K181" s="388"/>
      <c r="L181" s="388"/>
      <c r="M181" s="389"/>
      <c r="N181" s="389"/>
      <c r="O181" s="389"/>
      <c r="P181" s="389"/>
      <c r="Q181" s="216"/>
    </row>
    <row r="182" spans="1:17" s="192" customFormat="1" ht="69" x14ac:dyDescent="0.2">
      <c r="A182" s="391"/>
      <c r="B182" s="756" t="s">
        <v>453</v>
      </c>
      <c r="C182" s="756"/>
      <c r="D182" s="757"/>
      <c r="E182" s="240">
        <f>F182</f>
        <v>468700</v>
      </c>
      <c r="F182" s="240">
        <v>468700</v>
      </c>
      <c r="G182" s="392"/>
      <c r="H182" s="628" t="s">
        <v>401</v>
      </c>
      <c r="I182" s="575" t="s">
        <v>430</v>
      </c>
      <c r="J182" s="553" t="s">
        <v>429</v>
      </c>
      <c r="K182" s="392">
        <v>468000</v>
      </c>
      <c r="L182" s="392">
        <f>F182-K182</f>
        <v>700</v>
      </c>
      <c r="M182" s="393">
        <v>468000</v>
      </c>
      <c r="N182" s="393">
        <f>K182-M182</f>
        <v>0</v>
      </c>
      <c r="O182" s="393">
        <f>M182*100/K182</f>
        <v>100</v>
      </c>
      <c r="P182" s="393"/>
      <c r="Q182" s="395" t="s">
        <v>25</v>
      </c>
    </row>
    <row r="183" spans="1:17" s="192" customFormat="1" ht="62.25" customHeight="1" x14ac:dyDescent="0.2">
      <c r="A183" s="391"/>
      <c r="B183" s="756" t="s">
        <v>480</v>
      </c>
      <c r="C183" s="756"/>
      <c r="D183" s="757"/>
      <c r="E183" s="240">
        <f>F183</f>
        <v>1482700</v>
      </c>
      <c r="F183" s="240">
        <v>1482700</v>
      </c>
      <c r="G183" s="392"/>
      <c r="H183" s="522" t="s">
        <v>501</v>
      </c>
      <c r="I183" s="685"/>
      <c r="J183" s="553"/>
      <c r="K183" s="392"/>
      <c r="L183" s="392">
        <v>0</v>
      </c>
      <c r="M183" s="393">
        <v>0</v>
      </c>
      <c r="N183" s="393">
        <f>F183</f>
        <v>1482700</v>
      </c>
      <c r="O183" s="393">
        <v>0</v>
      </c>
      <c r="P183" s="393"/>
      <c r="Q183" s="395" t="s">
        <v>179</v>
      </c>
    </row>
    <row r="184" spans="1:17" s="192" customFormat="1" ht="69.75" customHeight="1" x14ac:dyDescent="0.2">
      <c r="A184" s="391"/>
      <c r="B184" s="756" t="s">
        <v>481</v>
      </c>
      <c r="C184" s="756"/>
      <c r="D184" s="757"/>
      <c r="E184" s="240">
        <f>F184</f>
        <v>4300000</v>
      </c>
      <c r="F184" s="240">
        <v>4300000</v>
      </c>
      <c r="G184" s="392"/>
      <c r="H184" s="522" t="s">
        <v>501</v>
      </c>
      <c r="I184" s="685"/>
      <c r="J184" s="553"/>
      <c r="K184" s="392"/>
      <c r="L184" s="392">
        <v>0</v>
      </c>
      <c r="M184" s="393">
        <v>0</v>
      </c>
      <c r="N184" s="393">
        <f>F184</f>
        <v>4300000</v>
      </c>
      <c r="O184" s="393">
        <v>0</v>
      </c>
      <c r="P184" s="393"/>
      <c r="Q184" s="395" t="s">
        <v>28</v>
      </c>
    </row>
    <row r="185" spans="1:17" s="384" customFormat="1" ht="48" customHeight="1" x14ac:dyDescent="0.2">
      <c r="A185" s="386"/>
      <c r="B185" s="754" t="s">
        <v>366</v>
      </c>
      <c r="C185" s="754"/>
      <c r="D185" s="755"/>
      <c r="E185" s="387"/>
      <c r="F185" s="387"/>
      <c r="G185" s="388"/>
      <c r="H185" s="534"/>
      <c r="I185" s="587"/>
      <c r="J185" s="534"/>
      <c r="K185" s="388"/>
      <c r="L185" s="388"/>
      <c r="M185" s="389"/>
      <c r="N185" s="389"/>
      <c r="O185" s="389"/>
      <c r="P185" s="389"/>
      <c r="Q185" s="216"/>
    </row>
    <row r="186" spans="1:17" s="384" customFormat="1" ht="70.5" customHeight="1" x14ac:dyDescent="0.2">
      <c r="A186" s="386"/>
      <c r="B186" s="756" t="s">
        <v>400</v>
      </c>
      <c r="C186" s="756"/>
      <c r="D186" s="757"/>
      <c r="E186" s="387"/>
      <c r="F186" s="387"/>
      <c r="G186" s="388"/>
      <c r="H186" s="534"/>
      <c r="I186" s="587"/>
      <c r="J186" s="534"/>
      <c r="K186" s="388"/>
      <c r="L186" s="388"/>
      <c r="M186" s="389"/>
      <c r="N186" s="389"/>
      <c r="O186" s="389"/>
      <c r="P186" s="389"/>
      <c r="Q186" s="216"/>
    </row>
    <row r="187" spans="1:17" s="192" customFormat="1" ht="75" x14ac:dyDescent="0.2">
      <c r="A187" s="391"/>
      <c r="B187" s="390"/>
      <c r="C187" s="390"/>
      <c r="D187" s="203" t="s">
        <v>367</v>
      </c>
      <c r="E187" s="240">
        <f>F187</f>
        <v>486000</v>
      </c>
      <c r="F187" s="240">
        <v>486000</v>
      </c>
      <c r="G187" s="392"/>
      <c r="H187" s="542" t="s">
        <v>401</v>
      </c>
      <c r="I187" s="575" t="s">
        <v>424</v>
      </c>
      <c r="J187" s="553" t="s">
        <v>390</v>
      </c>
      <c r="K187" s="392">
        <v>486000</v>
      </c>
      <c r="L187" s="392">
        <f>F187-K187</f>
        <v>0</v>
      </c>
      <c r="M187" s="393">
        <v>486000</v>
      </c>
      <c r="N187" s="393">
        <f>K187-M187</f>
        <v>0</v>
      </c>
      <c r="O187" s="393">
        <f>M187*100/K187</f>
        <v>100</v>
      </c>
      <c r="P187" s="394"/>
      <c r="Q187" s="395" t="s">
        <v>368</v>
      </c>
    </row>
    <row r="188" spans="1:17" s="11" customFormat="1" x14ac:dyDescent="0.2">
      <c r="A188" s="776" t="s">
        <v>83</v>
      </c>
      <c r="B188" s="776"/>
      <c r="C188" s="776"/>
      <c r="D188" s="776"/>
      <c r="E188" s="110">
        <f>E179+E139+E113+E8+E180</f>
        <v>185832900</v>
      </c>
      <c r="F188" s="110">
        <f>F179+F174+F153+F148+F140+F136+F129+F123+F117+F114+F103+F96+F76+F71+F44+F41+F9+F180</f>
        <v>110869600</v>
      </c>
      <c r="G188" s="110">
        <f>G179+G174+G153+G148+G140+G136+G129+G123+G117+G114+G103+G96+G76+G71+G44+G41+G9+G180</f>
        <v>74963300</v>
      </c>
      <c r="H188" s="535"/>
      <c r="I188" s="588"/>
      <c r="J188" s="535"/>
      <c r="K188" s="110">
        <f>K179+K174+K153+K148+K140+K136+K129+K123+K117+K114+K103+K96+K76+K71+K44+K41+K9+K180</f>
        <v>94395910.900000006</v>
      </c>
      <c r="L188" s="292">
        <f>L179+L174+L153+L148+L140+L136+L129+L123+L117+L114+L103+L96+L76+L71+L44+L41+L9+L180</f>
        <v>30389.099999999977</v>
      </c>
      <c r="M188" s="292">
        <f>M179+M174+M153+M148+M140+M136+M129+M123+M117+M114+M103+M96+M76+M71+M44+M41+M9+M180</f>
        <v>34855238.700000003</v>
      </c>
      <c r="N188" s="292">
        <f>N179+N174+N153+N148+N140+N136+N129+N123+N117+N114+N103+N96+N76+N71+N44+N41+N9</f>
        <v>133966848.32000001</v>
      </c>
      <c r="O188" s="323">
        <f>M188*100/E188</f>
        <v>18.756225996580802</v>
      </c>
      <c r="P188" s="323">
        <f>P7</f>
        <v>537123.88</v>
      </c>
      <c r="Q188" s="132"/>
    </row>
    <row r="191" spans="1:17" x14ac:dyDescent="0.2">
      <c r="L191" s="612"/>
    </row>
    <row r="192" spans="1:17" x14ac:dyDescent="0.2">
      <c r="M192" s="612"/>
    </row>
    <row r="193" spans="14:14" x14ac:dyDescent="0.2">
      <c r="N193" s="612">
        <f>L188+P188</f>
        <v>567512.98</v>
      </c>
    </row>
  </sheetData>
  <mergeCells count="68">
    <mergeCell ref="M5:O5"/>
    <mergeCell ref="N4:Q4"/>
    <mergeCell ref="B44:D44"/>
    <mergeCell ref="C45:D45"/>
    <mergeCell ref="A1:Q1"/>
    <mergeCell ref="A2:Q2"/>
    <mergeCell ref="C35:D35"/>
    <mergeCell ref="C37:D37"/>
    <mergeCell ref="C39:D39"/>
    <mergeCell ref="C13:D13"/>
    <mergeCell ref="Q5:Q6"/>
    <mergeCell ref="A7:D7"/>
    <mergeCell ref="A8:D8"/>
    <mergeCell ref="B9:D9"/>
    <mergeCell ref="A10:D10"/>
    <mergeCell ref="A5:D6"/>
    <mergeCell ref="E5:G5"/>
    <mergeCell ref="H5:L5"/>
    <mergeCell ref="A188:D188"/>
    <mergeCell ref="C149:D149"/>
    <mergeCell ref="C151:D151"/>
    <mergeCell ref="B153:D153"/>
    <mergeCell ref="C154:D154"/>
    <mergeCell ref="B174:D174"/>
    <mergeCell ref="C175:D175"/>
    <mergeCell ref="C177:D177"/>
    <mergeCell ref="A179:D179"/>
    <mergeCell ref="B140:D140"/>
    <mergeCell ref="C141:D141"/>
    <mergeCell ref="C143:D143"/>
    <mergeCell ref="B148:D148"/>
    <mergeCell ref="B136:D136"/>
    <mergeCell ref="A139:D139"/>
    <mergeCell ref="B117:D117"/>
    <mergeCell ref="C118:D118"/>
    <mergeCell ref="B129:D129"/>
    <mergeCell ref="C130:D130"/>
    <mergeCell ref="B123:D123"/>
    <mergeCell ref="C124:D124"/>
    <mergeCell ref="C120:D120"/>
    <mergeCell ref="C111:D111"/>
    <mergeCell ref="A113:D113"/>
    <mergeCell ref="B114:D114"/>
    <mergeCell ref="C115:D115"/>
    <mergeCell ref="C137:D137"/>
    <mergeCell ref="A3:Q3"/>
    <mergeCell ref="P5:P6"/>
    <mergeCell ref="B103:D103"/>
    <mergeCell ref="C104:D104"/>
    <mergeCell ref="C106:D106"/>
    <mergeCell ref="C77:D77"/>
    <mergeCell ref="C82:D82"/>
    <mergeCell ref="C90:D90"/>
    <mergeCell ref="B96:D96"/>
    <mergeCell ref="C97:D97"/>
    <mergeCell ref="B71:D71"/>
    <mergeCell ref="C72:D72"/>
    <mergeCell ref="B76:D76"/>
    <mergeCell ref="C68:D68"/>
    <mergeCell ref="B41:D41"/>
    <mergeCell ref="C42:D42"/>
    <mergeCell ref="A180:D180"/>
    <mergeCell ref="B181:D181"/>
    <mergeCell ref="B182:D182"/>
    <mergeCell ref="B186:D186"/>
    <mergeCell ref="B185:D185"/>
    <mergeCell ref="B183:D183"/>
    <mergeCell ref="B184:D184"/>
  </mergeCells>
  <pageMargins left="0.19685039370078741" right="0.15748031496062992" top="0.19685039370078741" bottom="0.23622047244094491" header="7.874015748031496E-2" footer="0.11811023622047245"/>
  <pageSetup paperSize="9" scale="68" orientation="landscape" verticalDpi="0" r:id="rId1"/>
  <headerFooter>
    <oddHeader>&amp;R&amp;"TH SarabunPSK,ธรรมดา"&amp;10&amp;A</oddHeader>
    <oddFooter>&amp;C&amp;"TH SarabunPSK,ธรรมดา"หน้าที่ &amp;P&amp;R&amp;"TH SarabunPSK,ธรรมดา"&amp;Z&amp;F</oddFooter>
  </headerFooter>
  <ignoredErrors>
    <ignoredError sqref="Q106 Q109 Q111" formula="1"/>
    <ignoredError sqref="F13 F15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68"/>
  <sheetViews>
    <sheetView workbookViewId="0">
      <selection activeCell="D8" sqref="D8"/>
    </sheetView>
  </sheetViews>
  <sheetFormatPr defaultRowHeight="21" x14ac:dyDescent="0.2"/>
  <cols>
    <col min="1" max="1" width="1.25" style="192" customWidth="1"/>
    <col min="2" max="2" width="1.125" style="192" customWidth="1"/>
    <col min="3" max="3" width="1.625" style="192" customWidth="1"/>
    <col min="4" max="4" width="52.625" style="192" customWidth="1"/>
    <col min="5" max="5" width="11" style="192" customWidth="1"/>
    <col min="6" max="6" width="13" style="224" customWidth="1"/>
    <col min="7" max="7" width="12.625" style="224" customWidth="1"/>
    <col min="8" max="8" width="9.625" style="224" customWidth="1"/>
    <col min="9" max="9" width="7.375" style="224" customWidth="1"/>
    <col min="10" max="10" width="12.125" style="224" customWidth="1"/>
    <col min="11" max="25" width="8.875" style="224" customWidth="1"/>
    <col min="26" max="26" width="12.75" style="225" customWidth="1"/>
    <col min="27" max="16384" width="9" style="192"/>
  </cols>
  <sheetData>
    <row r="1" spans="1:26" x14ac:dyDescent="0.2">
      <c r="A1" s="809" t="s">
        <v>208</v>
      </c>
      <c r="B1" s="809"/>
      <c r="C1" s="809"/>
      <c r="D1" s="809"/>
      <c r="E1" s="809"/>
      <c r="F1" s="809"/>
      <c r="G1" s="809"/>
      <c r="H1" s="809"/>
      <c r="I1" s="809"/>
      <c r="J1" s="809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</row>
    <row r="2" spans="1:26" x14ac:dyDescent="0.2">
      <c r="A2" s="809" t="s">
        <v>209</v>
      </c>
      <c r="B2" s="809"/>
      <c r="C2" s="809"/>
      <c r="D2" s="809"/>
      <c r="E2" s="809"/>
      <c r="F2" s="809"/>
      <c r="G2" s="809"/>
      <c r="H2" s="809"/>
      <c r="I2" s="809"/>
      <c r="J2" s="809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</row>
    <row r="3" spans="1:26" x14ac:dyDescent="0.2">
      <c r="A3" s="193"/>
      <c r="B3" s="193"/>
      <c r="C3" s="193"/>
      <c r="D3" s="193"/>
      <c r="E3" s="193"/>
      <c r="F3" s="258"/>
      <c r="G3" s="808" t="s">
        <v>503</v>
      </c>
      <c r="H3" s="808"/>
      <c r="I3" s="808"/>
      <c r="J3" s="808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</row>
    <row r="4" spans="1:26" s="194" customFormat="1" ht="17.25" customHeight="1" x14ac:dyDescent="0.2">
      <c r="A4" s="810" t="s">
        <v>0</v>
      </c>
      <c r="B4" s="811"/>
      <c r="C4" s="811"/>
      <c r="D4" s="812"/>
      <c r="E4" s="804" t="s">
        <v>1</v>
      </c>
      <c r="F4" s="816" t="s">
        <v>191</v>
      </c>
      <c r="G4" s="816"/>
      <c r="H4" s="816"/>
      <c r="I4" s="816"/>
      <c r="J4" s="817" t="s">
        <v>2</v>
      </c>
    </row>
    <row r="5" spans="1:26" s="194" customFormat="1" ht="56.25" customHeight="1" x14ac:dyDescent="0.2">
      <c r="A5" s="813"/>
      <c r="B5" s="814"/>
      <c r="C5" s="814"/>
      <c r="D5" s="815"/>
      <c r="E5" s="805"/>
      <c r="F5" s="195" t="s">
        <v>192</v>
      </c>
      <c r="G5" s="195" t="s">
        <v>193</v>
      </c>
      <c r="H5" s="195" t="s">
        <v>293</v>
      </c>
      <c r="I5" s="195" t="s">
        <v>194</v>
      </c>
      <c r="J5" s="818"/>
    </row>
    <row r="6" spans="1:26" s="673" customFormat="1" ht="64.5" customHeight="1" x14ac:dyDescent="0.2">
      <c r="A6" s="807" t="s">
        <v>210</v>
      </c>
      <c r="B6" s="807"/>
      <c r="C6" s="807"/>
      <c r="D6" s="807"/>
      <c r="E6" s="196">
        <f>E7</f>
        <v>300000</v>
      </c>
      <c r="F6" s="244">
        <f>F7</f>
        <v>41420</v>
      </c>
      <c r="G6" s="244">
        <f>G7</f>
        <v>258580</v>
      </c>
      <c r="H6" s="244"/>
      <c r="I6" s="244">
        <f t="shared" ref="I6:I67" si="0">F6*100/E6</f>
        <v>13.806666666666667</v>
      </c>
      <c r="J6" s="243" t="s">
        <v>249</v>
      </c>
    </row>
    <row r="7" spans="1:26" s="673" customFormat="1" ht="42" customHeight="1" x14ac:dyDescent="0.2">
      <c r="A7" s="226"/>
      <c r="B7" s="754" t="s">
        <v>211</v>
      </c>
      <c r="C7" s="754"/>
      <c r="D7" s="755"/>
      <c r="E7" s="197">
        <f>E8+E9+E10+E11+E12</f>
        <v>300000</v>
      </c>
      <c r="F7" s="245">
        <f>F8+F9+F10+F11+F12</f>
        <v>41420</v>
      </c>
      <c r="G7" s="245">
        <f>G8+G9+G10+G11+G12</f>
        <v>258580</v>
      </c>
      <c r="H7" s="245"/>
      <c r="I7" s="244">
        <f t="shared" si="0"/>
        <v>13.806666666666667</v>
      </c>
      <c r="J7" s="197"/>
    </row>
    <row r="8" spans="1:26" s="673" customFormat="1" ht="42" x14ac:dyDescent="0.2">
      <c r="A8" s="221"/>
      <c r="B8" s="227"/>
      <c r="C8" s="227"/>
      <c r="D8" s="222" t="s">
        <v>351</v>
      </c>
      <c r="E8" s="228">
        <v>80000</v>
      </c>
      <c r="F8" s="683">
        <f>31500</f>
        <v>31500</v>
      </c>
      <c r="G8" s="246">
        <f>E8-F8</f>
        <v>48500</v>
      </c>
      <c r="H8" s="246"/>
      <c r="I8" s="246">
        <f t="shared" si="0"/>
        <v>39.375</v>
      </c>
      <c r="J8" s="199"/>
    </row>
    <row r="9" spans="1:26" s="673" customFormat="1" ht="20.25" customHeight="1" x14ac:dyDescent="0.35">
      <c r="A9" s="226"/>
      <c r="B9" s="223"/>
      <c r="C9" s="223"/>
      <c r="D9" s="674" t="s">
        <v>212</v>
      </c>
      <c r="E9" s="238">
        <v>80000</v>
      </c>
      <c r="F9" s="684">
        <f>7400</f>
        <v>7400</v>
      </c>
      <c r="G9" s="246">
        <f t="shared" ref="G9:G12" si="1">E9-F9</f>
        <v>72600</v>
      </c>
      <c r="H9" s="246"/>
      <c r="I9" s="246">
        <f t="shared" si="0"/>
        <v>9.25</v>
      </c>
      <c r="J9" s="199"/>
    </row>
    <row r="10" spans="1:26" s="673" customFormat="1" x14ac:dyDescent="0.35">
      <c r="A10" s="201"/>
      <c r="B10" s="202"/>
      <c r="C10" s="670"/>
      <c r="D10" s="674" t="s">
        <v>213</v>
      </c>
      <c r="E10" s="204">
        <v>80000</v>
      </c>
      <c r="F10" s="248"/>
      <c r="G10" s="246">
        <f t="shared" si="1"/>
        <v>80000</v>
      </c>
      <c r="H10" s="246"/>
      <c r="I10" s="228">
        <f t="shared" si="0"/>
        <v>0</v>
      </c>
      <c r="J10" s="206"/>
    </row>
    <row r="11" spans="1:26" s="673" customFormat="1" ht="42" x14ac:dyDescent="0.35">
      <c r="A11" s="207"/>
      <c r="B11" s="208"/>
      <c r="C11" s="208"/>
      <c r="D11" s="675" t="s">
        <v>214</v>
      </c>
      <c r="E11" s="204">
        <v>30000</v>
      </c>
      <c r="F11" s="249">
        <f>770+875+875</f>
        <v>2520</v>
      </c>
      <c r="G11" s="246">
        <f t="shared" si="1"/>
        <v>27480</v>
      </c>
      <c r="H11" s="246"/>
      <c r="I11" s="246">
        <f t="shared" si="0"/>
        <v>8.4</v>
      </c>
      <c r="J11" s="206"/>
    </row>
    <row r="12" spans="1:26" s="673" customFormat="1" x14ac:dyDescent="0.35">
      <c r="A12" s="201"/>
      <c r="B12" s="202"/>
      <c r="C12" s="229"/>
      <c r="D12" s="676" t="s">
        <v>215</v>
      </c>
      <c r="E12" s="238">
        <v>30000</v>
      </c>
      <c r="F12" s="247"/>
      <c r="G12" s="246">
        <f t="shared" si="1"/>
        <v>30000</v>
      </c>
      <c r="H12" s="246"/>
      <c r="I12" s="228">
        <f t="shared" si="0"/>
        <v>0</v>
      </c>
      <c r="J12" s="211"/>
    </row>
    <row r="13" spans="1:26" s="673" customFormat="1" x14ac:dyDescent="0.2">
      <c r="A13" s="753" t="s">
        <v>250</v>
      </c>
      <c r="B13" s="801"/>
      <c r="C13" s="801"/>
      <c r="D13" s="802"/>
      <c r="E13" s="235">
        <f>E14</f>
        <v>580000</v>
      </c>
      <c r="F13" s="235">
        <f t="shared" ref="F13:G13" si="2">F14</f>
        <v>232475</v>
      </c>
      <c r="G13" s="235">
        <f t="shared" si="2"/>
        <v>347525</v>
      </c>
      <c r="H13" s="236"/>
      <c r="I13" s="250">
        <f t="shared" si="0"/>
        <v>40.081896551724135</v>
      </c>
      <c r="J13" s="243" t="s">
        <v>249</v>
      </c>
    </row>
    <row r="14" spans="1:26" s="673" customFormat="1" ht="85.5" customHeight="1" x14ac:dyDescent="0.2">
      <c r="A14" s="198"/>
      <c r="B14" s="212"/>
      <c r="C14" s="754" t="s">
        <v>216</v>
      </c>
      <c r="D14" s="755"/>
      <c r="E14" s="235">
        <f>E15+E16+E17+E18</f>
        <v>580000</v>
      </c>
      <c r="F14" s="235">
        <f t="shared" ref="F14:G14" si="3">F15+F16+F17+F18</f>
        <v>232475</v>
      </c>
      <c r="G14" s="235">
        <f t="shared" si="3"/>
        <v>347525</v>
      </c>
      <c r="H14" s="236"/>
      <c r="I14" s="250">
        <f t="shared" si="0"/>
        <v>40.081896551724135</v>
      </c>
      <c r="J14" s="237"/>
    </row>
    <row r="15" spans="1:26" s="673" customFormat="1" x14ac:dyDescent="0.35">
      <c r="A15" s="201"/>
      <c r="B15" s="202"/>
      <c r="C15" s="202"/>
      <c r="D15" s="674" t="s">
        <v>217</v>
      </c>
      <c r="E15" s="204">
        <v>500000</v>
      </c>
      <c r="F15" s="248">
        <f>56400-8000+56400+56400+56400</f>
        <v>217600</v>
      </c>
      <c r="G15" s="248">
        <f>E15-F15</f>
        <v>282400</v>
      </c>
      <c r="H15" s="248"/>
      <c r="I15" s="248">
        <f t="shared" si="0"/>
        <v>43.52</v>
      </c>
      <c r="J15" s="206"/>
      <c r="L15" s="260">
        <v>22208</v>
      </c>
      <c r="M15" s="261"/>
    </row>
    <row r="16" spans="1:26" s="673" customFormat="1" x14ac:dyDescent="0.35">
      <c r="A16" s="198"/>
      <c r="B16" s="212"/>
      <c r="C16" s="212"/>
      <c r="D16" s="674" t="s">
        <v>218</v>
      </c>
      <c r="E16" s="204">
        <v>30000</v>
      </c>
      <c r="F16" s="248">
        <f>1225+1925+1750+1260+1960+1505+3500+1750</f>
        <v>14875</v>
      </c>
      <c r="G16" s="248">
        <f t="shared" ref="G16:G18" si="4">E16-F16</f>
        <v>15125</v>
      </c>
      <c r="H16" s="248"/>
      <c r="I16" s="248">
        <f t="shared" si="0"/>
        <v>49.583333333333336</v>
      </c>
      <c r="J16" s="206"/>
    </row>
    <row r="17" spans="1:10" s="673" customFormat="1" x14ac:dyDescent="0.35">
      <c r="A17" s="201"/>
      <c r="B17" s="202"/>
      <c r="C17" s="202"/>
      <c r="D17" s="674" t="s">
        <v>219</v>
      </c>
      <c r="E17" s="204">
        <v>40000</v>
      </c>
      <c r="F17" s="248"/>
      <c r="G17" s="248">
        <f t="shared" si="4"/>
        <v>40000</v>
      </c>
      <c r="H17" s="248"/>
      <c r="I17" s="205">
        <f t="shared" si="0"/>
        <v>0</v>
      </c>
      <c r="J17" s="206"/>
    </row>
    <row r="18" spans="1:10" s="673" customFormat="1" x14ac:dyDescent="0.35">
      <c r="A18" s="198"/>
      <c r="B18" s="212"/>
      <c r="C18" s="212"/>
      <c r="D18" s="677" t="s">
        <v>220</v>
      </c>
      <c r="E18" s="204">
        <v>10000</v>
      </c>
      <c r="F18" s="251"/>
      <c r="G18" s="248">
        <f t="shared" si="4"/>
        <v>10000</v>
      </c>
      <c r="H18" s="248"/>
      <c r="I18" s="205">
        <f t="shared" si="0"/>
        <v>0</v>
      </c>
      <c r="J18" s="211"/>
    </row>
    <row r="19" spans="1:10" s="673" customFormat="1" x14ac:dyDescent="0.2">
      <c r="A19" s="806" t="s">
        <v>221</v>
      </c>
      <c r="B19" s="801"/>
      <c r="C19" s="801"/>
      <c r="D19" s="802"/>
      <c r="E19" s="235">
        <f>E20</f>
        <v>100000</v>
      </c>
      <c r="F19" s="252">
        <f>F20</f>
        <v>0</v>
      </c>
      <c r="G19" s="252">
        <f>G20</f>
        <v>100000</v>
      </c>
      <c r="H19" s="252"/>
      <c r="I19" s="239">
        <f t="shared" si="0"/>
        <v>0</v>
      </c>
      <c r="J19" s="243" t="s">
        <v>249</v>
      </c>
    </row>
    <row r="20" spans="1:10" s="673" customFormat="1" ht="41.25" customHeight="1" x14ac:dyDescent="0.2">
      <c r="A20" s="207"/>
      <c r="B20" s="208"/>
      <c r="C20" s="754" t="s">
        <v>222</v>
      </c>
      <c r="D20" s="802"/>
      <c r="E20" s="235">
        <v>100000</v>
      </c>
      <c r="F20" s="250"/>
      <c r="G20" s="250">
        <f>E20-F20</f>
        <v>100000</v>
      </c>
      <c r="H20" s="250"/>
      <c r="I20" s="236">
        <f t="shared" si="0"/>
        <v>0</v>
      </c>
      <c r="J20" s="242"/>
    </row>
    <row r="21" spans="1:10" s="673" customFormat="1" x14ac:dyDescent="0.2">
      <c r="A21" s="806" t="s">
        <v>223</v>
      </c>
      <c r="B21" s="801"/>
      <c r="C21" s="801"/>
      <c r="D21" s="802"/>
      <c r="E21" s="235">
        <f>E22+E30+E37+E38</f>
        <v>4680000</v>
      </c>
      <c r="F21" s="235">
        <f>F22+F30+F37+F38</f>
        <v>1756239.57</v>
      </c>
      <c r="G21" s="235">
        <f>G22+G30+G37+G38</f>
        <v>2923760.43</v>
      </c>
      <c r="H21" s="235">
        <f>H22+H30+H37+H38</f>
        <v>5000</v>
      </c>
      <c r="I21" s="250">
        <f t="shared" si="0"/>
        <v>37.52648653846154</v>
      </c>
      <c r="J21" s="243" t="s">
        <v>249</v>
      </c>
    </row>
    <row r="22" spans="1:10" s="673" customFormat="1" ht="40.5" customHeight="1" x14ac:dyDescent="0.2">
      <c r="A22" s="201"/>
      <c r="B22" s="202"/>
      <c r="C22" s="754" t="s">
        <v>338</v>
      </c>
      <c r="D22" s="755"/>
      <c r="E22" s="235">
        <f>E23+E24+E25+E26+E27+E28+E29</f>
        <v>1425000</v>
      </c>
      <c r="F22" s="253">
        <f>F23+F24+F25+F26+F27+F28+F29</f>
        <v>578462.35</v>
      </c>
      <c r="G22" s="253">
        <f>G23+G24+G25+G26+G27+G28+G29</f>
        <v>846537.65</v>
      </c>
      <c r="H22" s="250"/>
      <c r="I22" s="250">
        <f t="shared" si="0"/>
        <v>40.593849122807015</v>
      </c>
      <c r="J22" s="237"/>
    </row>
    <row r="23" spans="1:10" s="673" customFormat="1" ht="42" x14ac:dyDescent="0.35">
      <c r="A23" s="214"/>
      <c r="B23" s="212"/>
      <c r="C23" s="212"/>
      <c r="D23" s="675" t="s">
        <v>224</v>
      </c>
      <c r="E23" s="204">
        <f>840000-40000</f>
        <v>800000</v>
      </c>
      <c r="F23" s="248">
        <f>39460.4+52180.4+9710+23741+47530.4+40238+19350</f>
        <v>232210.2</v>
      </c>
      <c r="G23" s="248">
        <f>E23-F23</f>
        <v>567789.80000000005</v>
      </c>
      <c r="H23" s="248"/>
      <c r="I23" s="248">
        <f t="shared" si="0"/>
        <v>29.026274999999998</v>
      </c>
      <c r="J23" s="206"/>
    </row>
    <row r="24" spans="1:10" s="673" customFormat="1" x14ac:dyDescent="0.35">
      <c r="A24" s="201"/>
      <c r="B24" s="202"/>
      <c r="C24" s="202"/>
      <c r="D24" s="674" t="s">
        <v>225</v>
      </c>
      <c r="E24" s="204">
        <v>300000</v>
      </c>
      <c r="F24" s="248">
        <f>4550+350+4750+7670+90850+4820+2400+3900+1200+36400+1250+4060+920</f>
        <v>163120</v>
      </c>
      <c r="G24" s="248">
        <f t="shared" ref="G24:G29" si="5">E24-F24</f>
        <v>136880</v>
      </c>
      <c r="H24" s="248"/>
      <c r="I24" s="367">
        <f t="shared" si="0"/>
        <v>54.373333333333335</v>
      </c>
      <c r="J24" s="206"/>
    </row>
    <row r="25" spans="1:10" s="673" customFormat="1" x14ac:dyDescent="0.35">
      <c r="A25" s="201"/>
      <c r="B25" s="202"/>
      <c r="C25" s="202"/>
      <c r="D25" s="674" t="s">
        <v>226</v>
      </c>
      <c r="E25" s="204">
        <v>30000</v>
      </c>
      <c r="F25" s="249">
        <f>792+840+3940+1090+1090+230+220+1155+1634+4900+70+230+1320+640+248+800+4180+1032+248+230+100+670+330+1112+140+110+1140+1112+110</f>
        <v>29713</v>
      </c>
      <c r="G25" s="248">
        <f t="shared" si="5"/>
        <v>287</v>
      </c>
      <c r="H25" s="248"/>
      <c r="I25" s="248">
        <f t="shared" si="0"/>
        <v>99.043333333333337</v>
      </c>
      <c r="J25" s="206"/>
    </row>
    <row r="26" spans="1:10" s="673" customFormat="1" x14ac:dyDescent="0.35">
      <c r="A26" s="198"/>
      <c r="B26" s="212"/>
      <c r="C26" s="212"/>
      <c r="D26" s="674" t="s">
        <v>227</v>
      </c>
      <c r="E26" s="204">
        <f>100000-51000</f>
        <v>49000</v>
      </c>
      <c r="F26" s="249">
        <f>41350+7650</f>
        <v>49000</v>
      </c>
      <c r="G26" s="248">
        <f t="shared" si="5"/>
        <v>0</v>
      </c>
      <c r="H26" s="248"/>
      <c r="I26" s="248">
        <f t="shared" si="0"/>
        <v>100</v>
      </c>
      <c r="J26" s="206"/>
    </row>
    <row r="27" spans="1:10" s="673" customFormat="1" x14ac:dyDescent="0.35">
      <c r="A27" s="214"/>
      <c r="B27" s="215"/>
      <c r="C27" s="223"/>
      <c r="D27" s="674" t="s">
        <v>228</v>
      </c>
      <c r="E27" s="238">
        <v>30000</v>
      </c>
      <c r="F27" s="247">
        <f>4135.55+3555</f>
        <v>7690.55</v>
      </c>
      <c r="G27" s="248">
        <f t="shared" si="5"/>
        <v>22309.45</v>
      </c>
      <c r="H27" s="248"/>
      <c r="I27" s="248">
        <f t="shared" si="0"/>
        <v>25.635166666666667</v>
      </c>
      <c r="J27" s="211"/>
    </row>
    <row r="28" spans="1:10" s="673" customFormat="1" ht="42" x14ac:dyDescent="0.35">
      <c r="A28" s="201"/>
      <c r="B28" s="202"/>
      <c r="C28" s="670"/>
      <c r="D28" s="675" t="s">
        <v>229</v>
      </c>
      <c r="E28" s="213">
        <f>20000+40000</f>
        <v>60000</v>
      </c>
      <c r="F28" s="249">
        <f>1575+875+1120+1575+1925+770+350+4550+5000+1575+525+4900+1400+525+525+4900+420+245+525+4375+210+1000+1400+2500+630</f>
        <v>43395</v>
      </c>
      <c r="G28" s="248">
        <f t="shared" si="5"/>
        <v>16605</v>
      </c>
      <c r="H28" s="248"/>
      <c r="I28" s="248">
        <f t="shared" si="0"/>
        <v>72.325000000000003</v>
      </c>
      <c r="J28" s="206"/>
    </row>
    <row r="29" spans="1:10" s="673" customFormat="1" ht="42" x14ac:dyDescent="0.2">
      <c r="A29" s="207"/>
      <c r="B29" s="208"/>
      <c r="C29" s="230"/>
      <c r="D29" s="678" t="s">
        <v>475</v>
      </c>
      <c r="E29" s="238">
        <v>156000</v>
      </c>
      <c r="F29" s="247">
        <f>2811.6+4354.8+30000+10907.2+800+1000+3460</f>
        <v>53333.600000000006</v>
      </c>
      <c r="G29" s="248">
        <f t="shared" si="5"/>
        <v>102666.4</v>
      </c>
      <c r="H29" s="248"/>
      <c r="I29" s="248">
        <f t="shared" si="0"/>
        <v>34.188205128205134</v>
      </c>
      <c r="J29" s="211"/>
    </row>
    <row r="30" spans="1:10" s="673" customFormat="1" ht="41.25" customHeight="1" x14ac:dyDescent="0.2">
      <c r="A30" s="231"/>
      <c r="B30" s="754" t="s">
        <v>230</v>
      </c>
      <c r="C30" s="754"/>
      <c r="D30" s="755"/>
      <c r="E30" s="239">
        <f>E31+E32+E33+E34+E35+E36</f>
        <v>1104000</v>
      </c>
      <c r="F30" s="252">
        <f>F31+F32+F33+F34+F35+F36</f>
        <v>365032.22000000003</v>
      </c>
      <c r="G30" s="252">
        <f>G31+G32+G33+G34+G35+G36</f>
        <v>738967.78</v>
      </c>
      <c r="H30" s="347"/>
      <c r="I30" s="347">
        <f t="shared" si="0"/>
        <v>33.064512681159421</v>
      </c>
      <c r="J30" s="243" t="s">
        <v>249</v>
      </c>
    </row>
    <row r="31" spans="1:10" s="673" customFormat="1" ht="42" x14ac:dyDescent="0.35">
      <c r="A31" s="214"/>
      <c r="B31" s="215"/>
      <c r="C31" s="223"/>
      <c r="D31" s="679" t="s">
        <v>231</v>
      </c>
      <c r="E31" s="238">
        <v>180000</v>
      </c>
      <c r="F31" s="247">
        <f>14516.12+15000+15000+15000</f>
        <v>59516.12</v>
      </c>
      <c r="G31" s="247">
        <f>E31-F31</f>
        <v>120483.88</v>
      </c>
      <c r="H31" s="247"/>
      <c r="I31" s="247">
        <f t="shared" si="0"/>
        <v>33.064511111111109</v>
      </c>
      <c r="J31" s="211"/>
    </row>
    <row r="32" spans="1:10" s="673" customFormat="1" ht="42" x14ac:dyDescent="0.2">
      <c r="A32" s="201"/>
      <c r="B32" s="202"/>
      <c r="C32" s="670"/>
      <c r="D32" s="671" t="s">
        <v>232</v>
      </c>
      <c r="E32" s="213">
        <v>156000</v>
      </c>
      <c r="F32" s="249">
        <f>12580.64+13000+13000+13000</f>
        <v>51580.639999999999</v>
      </c>
      <c r="G32" s="247">
        <f t="shared" ref="G32:G36" si="6">E32-F32</f>
        <v>104419.36</v>
      </c>
      <c r="H32" s="247"/>
      <c r="I32" s="247">
        <f t="shared" si="0"/>
        <v>33.064512820512817</v>
      </c>
      <c r="J32" s="206"/>
    </row>
    <row r="33" spans="1:26" s="673" customFormat="1" ht="63" x14ac:dyDescent="0.2">
      <c r="A33" s="201"/>
      <c r="B33" s="223"/>
      <c r="C33" s="223"/>
      <c r="D33" s="222" t="s">
        <v>233</v>
      </c>
      <c r="E33" s="613">
        <v>180000</v>
      </c>
      <c r="F33" s="614">
        <f>14516.12+15000+15000+15000</f>
        <v>59516.12</v>
      </c>
      <c r="G33" s="247">
        <f t="shared" si="6"/>
        <v>120483.88</v>
      </c>
      <c r="H33" s="247"/>
      <c r="I33" s="247">
        <f t="shared" si="0"/>
        <v>33.064511111111109</v>
      </c>
      <c r="J33" s="211"/>
    </row>
    <row r="34" spans="1:26" s="673" customFormat="1" ht="43.5" customHeight="1" x14ac:dyDescent="0.2">
      <c r="A34" s="201"/>
      <c r="B34" s="202"/>
      <c r="C34" s="223"/>
      <c r="D34" s="222" t="s">
        <v>234</v>
      </c>
      <c r="E34" s="241">
        <v>180000</v>
      </c>
      <c r="F34" s="254">
        <f>14516.12+15000+15000+15000</f>
        <v>59516.12</v>
      </c>
      <c r="G34" s="247">
        <f t="shared" si="6"/>
        <v>120483.88</v>
      </c>
      <c r="H34" s="247"/>
      <c r="I34" s="247">
        <f t="shared" si="0"/>
        <v>33.064511111111109</v>
      </c>
      <c r="J34" s="211"/>
    </row>
    <row r="35" spans="1:26" ht="42" x14ac:dyDescent="0.2">
      <c r="A35" s="217"/>
      <c r="B35" s="218"/>
      <c r="C35" s="218"/>
      <c r="D35" s="209" t="s">
        <v>235</v>
      </c>
      <c r="E35" s="213">
        <v>132000</v>
      </c>
      <c r="F35" s="248">
        <f>10645.16+11000+11000+11000</f>
        <v>43645.16</v>
      </c>
      <c r="G35" s="247">
        <f t="shared" si="6"/>
        <v>88354.84</v>
      </c>
      <c r="H35" s="247"/>
      <c r="I35" s="247">
        <f t="shared" si="0"/>
        <v>33.064515151515153</v>
      </c>
      <c r="J35" s="206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</row>
    <row r="36" spans="1:26" s="673" customFormat="1" ht="21" customHeight="1" x14ac:dyDescent="0.35">
      <c r="A36" s="207"/>
      <c r="B36" s="223"/>
      <c r="C36" s="223"/>
      <c r="D36" s="676" t="s">
        <v>236</v>
      </c>
      <c r="E36" s="240">
        <v>276000</v>
      </c>
      <c r="F36" s="255">
        <f>11129.03+11129.03+11500+11500+11500+11500+11500+11500</f>
        <v>91258.06</v>
      </c>
      <c r="G36" s="247">
        <f t="shared" si="6"/>
        <v>184741.94</v>
      </c>
      <c r="H36" s="247"/>
      <c r="I36" s="247">
        <f t="shared" si="0"/>
        <v>33.064514492753624</v>
      </c>
      <c r="J36" s="211"/>
    </row>
    <row r="37" spans="1:26" s="673" customFormat="1" ht="45" customHeight="1" x14ac:dyDescent="0.2">
      <c r="A37" s="201"/>
      <c r="B37" s="202"/>
      <c r="C37" s="754" t="s">
        <v>307</v>
      </c>
      <c r="D37" s="755"/>
      <c r="E37" s="200">
        <f>100000+51000</f>
        <v>151000</v>
      </c>
      <c r="F37" s="256">
        <v>151000</v>
      </c>
      <c r="G37" s="256">
        <f>E37-F37</f>
        <v>0</v>
      </c>
      <c r="H37" s="256"/>
      <c r="I37" s="256">
        <f>F37*100/E37</f>
        <v>100</v>
      </c>
      <c r="J37" s="243" t="s">
        <v>249</v>
      </c>
      <c r="K37" s="799" t="s">
        <v>306</v>
      </c>
      <c r="L37" s="800"/>
      <c r="M37" s="800"/>
      <c r="N37" s="800"/>
      <c r="O37" s="800"/>
    </row>
    <row r="38" spans="1:26" ht="22.5" customHeight="1" x14ac:dyDescent="0.2">
      <c r="A38" s="232"/>
      <c r="B38" s="229"/>
      <c r="C38" s="801" t="s">
        <v>237</v>
      </c>
      <c r="D38" s="802"/>
      <c r="E38" s="239">
        <v>2000000</v>
      </c>
      <c r="F38" s="252">
        <f>F39+F40+F41+F42+F43+F44+F45+F46+F47+F48+F49</f>
        <v>661745</v>
      </c>
      <c r="G38" s="252">
        <f t="shared" ref="G38:G41" si="7">E38-F38</f>
        <v>1338255</v>
      </c>
      <c r="H38" s="252">
        <f>H39+H40+H41+H42+H43+H44+H45+H46</f>
        <v>5000</v>
      </c>
      <c r="I38" s="326">
        <f t="shared" si="0"/>
        <v>33.087249999999997</v>
      </c>
      <c r="J38" s="237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</row>
    <row r="39" spans="1:26" ht="32.25" customHeight="1" x14ac:dyDescent="0.2">
      <c r="A39" s="348"/>
      <c r="B39" s="349"/>
      <c r="C39" s="349"/>
      <c r="D39" s="350" t="s">
        <v>296</v>
      </c>
      <c r="E39" s="351">
        <v>75500</v>
      </c>
      <c r="F39" s="352">
        <f>15000+13500+47000</f>
        <v>75500</v>
      </c>
      <c r="G39" s="352">
        <f t="shared" si="7"/>
        <v>0</v>
      </c>
      <c r="H39" s="352"/>
      <c r="I39" s="353">
        <f t="shared" si="0"/>
        <v>100</v>
      </c>
      <c r="J39" s="354" t="s">
        <v>247</v>
      </c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</row>
    <row r="40" spans="1:26" ht="42.75" customHeight="1" x14ac:dyDescent="0.2">
      <c r="A40" s="232"/>
      <c r="B40" s="672"/>
      <c r="C40" s="672"/>
      <c r="D40" s="671" t="s">
        <v>246</v>
      </c>
      <c r="E40" s="213">
        <v>135600</v>
      </c>
      <c r="F40" s="257">
        <v>92100</v>
      </c>
      <c r="G40" s="257">
        <f t="shared" si="7"/>
        <v>43500</v>
      </c>
      <c r="H40" s="257"/>
      <c r="I40" s="368">
        <f t="shared" si="0"/>
        <v>67.920353982300881</v>
      </c>
      <c r="J40" s="206" t="s">
        <v>248</v>
      </c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</row>
    <row r="41" spans="1:26" ht="42.75" customHeight="1" x14ac:dyDescent="0.2">
      <c r="A41" s="348"/>
      <c r="B41" s="349"/>
      <c r="C41" s="349"/>
      <c r="D41" s="355" t="s">
        <v>297</v>
      </c>
      <c r="E41" s="351">
        <v>130000</v>
      </c>
      <c r="F41" s="352">
        <v>130000</v>
      </c>
      <c r="G41" s="352">
        <f t="shared" si="7"/>
        <v>0</v>
      </c>
      <c r="H41" s="352"/>
      <c r="I41" s="353">
        <f t="shared" si="0"/>
        <v>100</v>
      </c>
      <c r="J41" s="354" t="s">
        <v>22</v>
      </c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</row>
    <row r="42" spans="1:26" ht="48.75" customHeight="1" x14ac:dyDescent="0.2">
      <c r="A42" s="348"/>
      <c r="B42" s="349"/>
      <c r="C42" s="349"/>
      <c r="D42" s="355" t="s">
        <v>277</v>
      </c>
      <c r="E42" s="351">
        <v>143145</v>
      </c>
      <c r="F42" s="352">
        <f>73070+70075-5000</f>
        <v>138145</v>
      </c>
      <c r="G42" s="352">
        <f>E42-F42-H42</f>
        <v>0</v>
      </c>
      <c r="H42" s="352">
        <v>5000</v>
      </c>
      <c r="I42" s="353">
        <v>100</v>
      </c>
      <c r="J42" s="354" t="s">
        <v>267</v>
      </c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</row>
    <row r="43" spans="1:26" ht="63" x14ac:dyDescent="0.2">
      <c r="A43" s="232"/>
      <c r="B43" s="672"/>
      <c r="C43" s="672"/>
      <c r="D43" s="671" t="s">
        <v>298</v>
      </c>
      <c r="E43" s="213">
        <v>280000</v>
      </c>
      <c r="F43" s="257">
        <f>40000</f>
        <v>40000</v>
      </c>
      <c r="G43" s="257">
        <f t="shared" ref="G43:G49" si="8">E43-F43</f>
        <v>240000</v>
      </c>
      <c r="H43" s="257"/>
      <c r="I43" s="346">
        <f t="shared" ref="I43:I49" si="9">F43*100/E43</f>
        <v>14.285714285714286</v>
      </c>
      <c r="J43" s="206" t="s">
        <v>299</v>
      </c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</row>
    <row r="44" spans="1:26" ht="42" x14ac:dyDescent="0.2">
      <c r="A44" s="232"/>
      <c r="B44" s="672"/>
      <c r="C44" s="672"/>
      <c r="D44" s="671" t="s">
        <v>308</v>
      </c>
      <c r="E44" s="213">
        <v>50000</v>
      </c>
      <c r="F44" s="257">
        <f>39950+10050</f>
        <v>50000</v>
      </c>
      <c r="G44" s="257">
        <f t="shared" si="8"/>
        <v>0</v>
      </c>
      <c r="H44" s="257"/>
      <c r="I44" s="346">
        <f t="shared" si="9"/>
        <v>100</v>
      </c>
      <c r="J44" s="206" t="s">
        <v>309</v>
      </c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</row>
    <row r="45" spans="1:26" ht="53.25" customHeight="1" x14ac:dyDescent="0.2">
      <c r="A45" s="232"/>
      <c r="B45" s="672"/>
      <c r="C45" s="672"/>
      <c r="D45" s="671" t="s">
        <v>339</v>
      </c>
      <c r="E45" s="213">
        <v>22400</v>
      </c>
      <c r="F45" s="257">
        <f>5000</f>
        <v>5000</v>
      </c>
      <c r="G45" s="257">
        <f t="shared" si="8"/>
        <v>17400</v>
      </c>
      <c r="H45" s="257"/>
      <c r="I45" s="346">
        <f t="shared" si="9"/>
        <v>22.321428571428573</v>
      </c>
      <c r="J45" s="206" t="s">
        <v>340</v>
      </c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</row>
    <row r="46" spans="1:26" ht="31.5" x14ac:dyDescent="0.2">
      <c r="A46" s="348"/>
      <c r="B46" s="349"/>
      <c r="C46" s="349"/>
      <c r="D46" s="355" t="s">
        <v>350</v>
      </c>
      <c r="E46" s="351">
        <v>50000</v>
      </c>
      <c r="F46" s="352">
        <v>50000</v>
      </c>
      <c r="G46" s="352">
        <f t="shared" si="8"/>
        <v>0</v>
      </c>
      <c r="H46" s="352"/>
      <c r="I46" s="353">
        <f t="shared" si="9"/>
        <v>100</v>
      </c>
      <c r="J46" s="354" t="s">
        <v>22</v>
      </c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92"/>
      <c r="V46" s="192"/>
      <c r="W46" s="192"/>
      <c r="X46" s="192"/>
      <c r="Y46" s="192"/>
      <c r="Z46" s="192"/>
    </row>
    <row r="47" spans="1:26" ht="42" x14ac:dyDescent="0.2">
      <c r="A47" s="232"/>
      <c r="B47" s="672"/>
      <c r="C47" s="672"/>
      <c r="D47" s="671" t="s">
        <v>432</v>
      </c>
      <c r="E47" s="213">
        <v>81000</v>
      </c>
      <c r="F47" s="257">
        <v>81000</v>
      </c>
      <c r="G47" s="257">
        <f t="shared" si="8"/>
        <v>0</v>
      </c>
      <c r="H47" s="257"/>
      <c r="I47" s="346">
        <f t="shared" si="9"/>
        <v>100</v>
      </c>
      <c r="J47" s="206" t="s">
        <v>31</v>
      </c>
      <c r="K47" s="192"/>
      <c r="L47" s="192"/>
      <c r="M47" s="192"/>
      <c r="N47" s="192"/>
      <c r="O47" s="192"/>
      <c r="P47" s="192"/>
      <c r="Q47" s="192"/>
      <c r="R47" s="192"/>
      <c r="S47" s="192"/>
      <c r="T47" s="192"/>
      <c r="U47" s="192"/>
      <c r="V47" s="192"/>
      <c r="W47" s="192"/>
      <c r="X47" s="192"/>
      <c r="Y47" s="192"/>
      <c r="Z47" s="192"/>
    </row>
    <row r="48" spans="1:26" ht="96.75" customHeight="1" x14ac:dyDescent="0.2">
      <c r="A48" s="232"/>
      <c r="B48" s="672"/>
      <c r="C48" s="672"/>
      <c r="D48" s="671" t="s">
        <v>493</v>
      </c>
      <c r="E48" s="213">
        <v>361400</v>
      </c>
      <c r="F48" s="257"/>
      <c r="G48" s="257">
        <f t="shared" si="8"/>
        <v>361400</v>
      </c>
      <c r="H48" s="257"/>
      <c r="I48" s="346">
        <f t="shared" si="9"/>
        <v>0</v>
      </c>
      <c r="J48" s="206" t="s">
        <v>433</v>
      </c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192"/>
      <c r="W48" s="192"/>
      <c r="X48" s="192"/>
      <c r="Y48" s="192"/>
      <c r="Z48" s="192"/>
    </row>
    <row r="49" spans="1:26" ht="42" x14ac:dyDescent="0.2">
      <c r="A49" s="232"/>
      <c r="B49" s="692"/>
      <c r="C49" s="692"/>
      <c r="D49" s="691" t="s">
        <v>494</v>
      </c>
      <c r="E49" s="213">
        <v>76000</v>
      </c>
      <c r="F49" s="257"/>
      <c r="G49" s="257">
        <f t="shared" si="8"/>
        <v>76000</v>
      </c>
      <c r="H49" s="257"/>
      <c r="I49" s="346">
        <f t="shared" si="9"/>
        <v>0</v>
      </c>
      <c r="J49" s="206" t="s">
        <v>247</v>
      </c>
      <c r="K49" s="192"/>
      <c r="L49" s="192"/>
      <c r="M49" s="192"/>
      <c r="N49" s="192"/>
      <c r="O49" s="192"/>
      <c r="P49" s="192"/>
      <c r="Q49" s="192"/>
      <c r="R49" s="192"/>
      <c r="S49" s="192"/>
      <c r="T49" s="192"/>
      <c r="U49" s="192"/>
      <c r="V49" s="192"/>
      <c r="W49" s="192"/>
      <c r="X49" s="192"/>
      <c r="Y49" s="192"/>
      <c r="Z49" s="192"/>
    </row>
    <row r="50" spans="1:26" ht="68.25" customHeight="1" x14ac:dyDescent="0.2">
      <c r="A50" s="753" t="s">
        <v>238</v>
      </c>
      <c r="B50" s="801"/>
      <c r="C50" s="801"/>
      <c r="D50" s="802"/>
      <c r="E50" s="239">
        <f>E51</f>
        <v>1800000</v>
      </c>
      <c r="F50" s="239">
        <f t="shared" ref="F50:G50" si="10">F51</f>
        <v>253660</v>
      </c>
      <c r="G50" s="239">
        <f t="shared" si="10"/>
        <v>1546340</v>
      </c>
      <c r="H50" s="239"/>
      <c r="I50" s="252">
        <f t="shared" si="0"/>
        <v>14.092222222222222</v>
      </c>
      <c r="J50" s="243"/>
      <c r="K50" s="192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</row>
    <row r="51" spans="1:26" x14ac:dyDescent="0.2">
      <c r="A51" s="232"/>
      <c r="B51" s="233"/>
      <c r="C51" s="754" t="s">
        <v>295</v>
      </c>
      <c r="D51" s="802"/>
      <c r="E51" s="239">
        <v>1800000</v>
      </c>
      <c r="F51" s="252">
        <f>F52+F53+F54+F55+F56+F57+F58</f>
        <v>253660</v>
      </c>
      <c r="G51" s="252">
        <f t="shared" ref="G51:G58" si="11">E51-F51</f>
        <v>1546340</v>
      </c>
      <c r="H51" s="252"/>
      <c r="I51" s="252">
        <f t="shared" si="0"/>
        <v>14.092222222222222</v>
      </c>
      <c r="J51" s="237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</row>
    <row r="52" spans="1:26" ht="42" x14ac:dyDescent="0.2">
      <c r="A52" s="348"/>
      <c r="B52" s="381"/>
      <c r="C52" s="382"/>
      <c r="D52" s="355" t="s">
        <v>304</v>
      </c>
      <c r="E52" s="351">
        <v>14700</v>
      </c>
      <c r="F52" s="352">
        <f>14700</f>
        <v>14700</v>
      </c>
      <c r="G52" s="352">
        <f t="shared" si="11"/>
        <v>0</v>
      </c>
      <c r="H52" s="352"/>
      <c r="I52" s="352">
        <f t="shared" ref="I52:I58" si="12">F52*100/E52</f>
        <v>100</v>
      </c>
      <c r="J52" s="383" t="s">
        <v>249</v>
      </c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</row>
    <row r="53" spans="1:26" ht="63" x14ac:dyDescent="0.2">
      <c r="A53" s="232"/>
      <c r="B53" s="233"/>
      <c r="C53" s="670"/>
      <c r="D53" s="671" t="s">
        <v>305</v>
      </c>
      <c r="E53" s="213">
        <v>240000</v>
      </c>
      <c r="F53" s="257">
        <f>24000+24000+24000+24000</f>
        <v>96000</v>
      </c>
      <c r="G53" s="257">
        <f t="shared" si="11"/>
        <v>144000</v>
      </c>
      <c r="H53" s="257"/>
      <c r="I53" s="257">
        <f t="shared" si="12"/>
        <v>40</v>
      </c>
      <c r="J53" s="359" t="s">
        <v>249</v>
      </c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</row>
    <row r="54" spans="1:26" ht="42" x14ac:dyDescent="0.2">
      <c r="A54" s="232"/>
      <c r="B54" s="233"/>
      <c r="C54" s="670"/>
      <c r="D54" s="671" t="s">
        <v>426</v>
      </c>
      <c r="E54" s="213">
        <v>97960</v>
      </c>
      <c r="F54" s="257">
        <v>97960</v>
      </c>
      <c r="G54" s="257">
        <f t="shared" si="11"/>
        <v>0</v>
      </c>
      <c r="H54" s="257"/>
      <c r="I54" s="257">
        <f t="shared" si="12"/>
        <v>100</v>
      </c>
      <c r="J54" s="359" t="s">
        <v>249</v>
      </c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Z54" s="192"/>
    </row>
    <row r="55" spans="1:26" ht="42" x14ac:dyDescent="0.2">
      <c r="A55" s="232"/>
      <c r="B55" s="233"/>
      <c r="C55" s="670"/>
      <c r="D55" s="671" t="s">
        <v>431</v>
      </c>
      <c r="E55" s="213">
        <v>180000</v>
      </c>
      <c r="F55" s="257">
        <f>20000</f>
        <v>20000</v>
      </c>
      <c r="G55" s="257">
        <f t="shared" si="11"/>
        <v>160000</v>
      </c>
      <c r="H55" s="257"/>
      <c r="I55" s="257">
        <f t="shared" si="12"/>
        <v>11.111111111111111</v>
      </c>
      <c r="J55" s="359" t="s">
        <v>249</v>
      </c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</row>
    <row r="56" spans="1:26" x14ac:dyDescent="0.2">
      <c r="A56" s="232"/>
      <c r="B56" s="233"/>
      <c r="C56" s="670"/>
      <c r="D56" s="671" t="s">
        <v>434</v>
      </c>
      <c r="E56" s="213">
        <v>32100</v>
      </c>
      <c r="F56" s="257"/>
      <c r="G56" s="257">
        <f t="shared" si="11"/>
        <v>32100</v>
      </c>
      <c r="H56" s="257"/>
      <c r="I56" s="213">
        <f t="shared" si="12"/>
        <v>0</v>
      </c>
      <c r="J56" s="359" t="s">
        <v>249</v>
      </c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</row>
    <row r="57" spans="1:26" ht="63" x14ac:dyDescent="0.2">
      <c r="A57" s="232"/>
      <c r="B57" s="233"/>
      <c r="C57" s="670"/>
      <c r="D57" s="671" t="s">
        <v>474</v>
      </c>
      <c r="E57" s="213">
        <v>25000</v>
      </c>
      <c r="F57" s="257">
        <v>25000</v>
      </c>
      <c r="G57" s="257">
        <f t="shared" si="11"/>
        <v>0</v>
      </c>
      <c r="H57" s="257"/>
      <c r="I57" s="257">
        <f t="shared" si="12"/>
        <v>100</v>
      </c>
      <c r="J57" s="359" t="s">
        <v>249</v>
      </c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</row>
    <row r="58" spans="1:26" x14ac:dyDescent="0.2">
      <c r="A58" s="232"/>
      <c r="B58" s="233"/>
      <c r="C58" s="693"/>
      <c r="D58" s="694" t="s">
        <v>498</v>
      </c>
      <c r="E58" s="213">
        <v>14900</v>
      </c>
      <c r="F58" s="257"/>
      <c r="G58" s="257">
        <f t="shared" si="11"/>
        <v>14900</v>
      </c>
      <c r="H58" s="257"/>
      <c r="I58" s="257">
        <f t="shared" si="12"/>
        <v>0</v>
      </c>
      <c r="J58" s="359" t="s">
        <v>249</v>
      </c>
      <c r="K58" s="192"/>
      <c r="L58" s="192"/>
      <c r="M58" s="192"/>
      <c r="N58" s="192"/>
      <c r="O58" s="192"/>
      <c r="P58" s="192"/>
      <c r="Q58" s="192"/>
      <c r="R58" s="192"/>
      <c r="S58" s="192"/>
      <c r="T58" s="192"/>
      <c r="U58" s="192"/>
      <c r="V58" s="192"/>
      <c r="W58" s="192"/>
      <c r="X58" s="192"/>
      <c r="Y58" s="192"/>
      <c r="Z58" s="192"/>
    </row>
    <row r="59" spans="1:26" x14ac:dyDescent="0.2">
      <c r="A59" s="806" t="s">
        <v>239</v>
      </c>
      <c r="B59" s="801"/>
      <c r="C59" s="801"/>
      <c r="D59" s="802"/>
      <c r="E59" s="239">
        <f>E60</f>
        <v>540000</v>
      </c>
      <c r="F59" s="252">
        <f>F60</f>
        <v>69664.399999999994</v>
      </c>
      <c r="G59" s="252">
        <f>G60</f>
        <v>470335.6</v>
      </c>
      <c r="H59" s="252"/>
      <c r="I59" s="252">
        <f t="shared" si="0"/>
        <v>12.900814814814813</v>
      </c>
      <c r="J59" s="243" t="s">
        <v>249</v>
      </c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2"/>
      <c r="W59" s="192"/>
      <c r="X59" s="192"/>
      <c r="Y59" s="192"/>
      <c r="Z59" s="192"/>
    </row>
    <row r="60" spans="1:26" ht="43.5" customHeight="1" x14ac:dyDescent="0.2">
      <c r="A60" s="232"/>
      <c r="B60" s="233"/>
      <c r="C60" s="754" t="s">
        <v>240</v>
      </c>
      <c r="D60" s="802"/>
      <c r="E60" s="239">
        <f>E61+E62+E63+E64+E65+E66</f>
        <v>540000</v>
      </c>
      <c r="F60" s="252">
        <f>F61+F62+F63+F64+F65+F66</f>
        <v>69664.399999999994</v>
      </c>
      <c r="G60" s="252">
        <f>G61+G62+G63+G64+G65+G66</f>
        <v>470335.6</v>
      </c>
      <c r="H60" s="252"/>
      <c r="I60" s="252">
        <f t="shared" si="0"/>
        <v>12.900814814814813</v>
      </c>
      <c r="J60" s="237"/>
      <c r="K60" s="192"/>
      <c r="L60" s="192"/>
      <c r="M60" s="192"/>
      <c r="N60" s="192"/>
      <c r="O60" s="192"/>
      <c r="P60" s="192"/>
      <c r="Q60" s="192"/>
      <c r="R60" s="192"/>
      <c r="S60" s="192"/>
      <c r="T60" s="192"/>
      <c r="U60" s="192"/>
      <c r="V60" s="192"/>
      <c r="W60" s="192"/>
      <c r="X60" s="192"/>
      <c r="Y60" s="192"/>
      <c r="Z60" s="192"/>
    </row>
    <row r="61" spans="1:26" x14ac:dyDescent="0.35">
      <c r="A61" s="232"/>
      <c r="B61" s="233"/>
      <c r="C61" s="233"/>
      <c r="D61" s="680" t="s">
        <v>241</v>
      </c>
      <c r="E61" s="213">
        <v>200000</v>
      </c>
      <c r="F61" s="249"/>
      <c r="G61" s="249">
        <f>E61-F61</f>
        <v>200000</v>
      </c>
      <c r="H61" s="249"/>
      <c r="I61" s="210">
        <f t="shared" si="0"/>
        <v>0</v>
      </c>
      <c r="J61" s="206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</row>
    <row r="62" spans="1:26" x14ac:dyDescent="0.35">
      <c r="A62" s="219"/>
      <c r="B62" s="220"/>
      <c r="C62" s="220"/>
      <c r="D62" s="674" t="s">
        <v>242</v>
      </c>
      <c r="E62" s="213">
        <v>10000</v>
      </c>
      <c r="F62" s="249">
        <f>1580+185+230+230+840+600+570</f>
        <v>4235</v>
      </c>
      <c r="G62" s="249">
        <f t="shared" ref="G62:G66" si="13">E62-F62</f>
        <v>5765</v>
      </c>
      <c r="H62" s="249"/>
      <c r="I62" s="249">
        <f t="shared" si="0"/>
        <v>42.35</v>
      </c>
      <c r="J62" s="206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</row>
    <row r="63" spans="1:26" x14ac:dyDescent="0.35">
      <c r="A63" s="219"/>
      <c r="B63" s="220"/>
      <c r="C63" s="220"/>
      <c r="D63" s="674" t="s">
        <v>243</v>
      </c>
      <c r="E63" s="234">
        <v>100000</v>
      </c>
      <c r="F63" s="249">
        <f>6000</f>
        <v>6000</v>
      </c>
      <c r="G63" s="249">
        <f t="shared" si="13"/>
        <v>94000</v>
      </c>
      <c r="H63" s="249"/>
      <c r="I63" s="249">
        <f t="shared" si="0"/>
        <v>6</v>
      </c>
      <c r="J63" s="206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</row>
    <row r="64" spans="1:26" x14ac:dyDescent="0.35">
      <c r="A64" s="219"/>
      <c r="B64" s="220"/>
      <c r="C64" s="220"/>
      <c r="D64" s="674" t="s">
        <v>244</v>
      </c>
      <c r="E64" s="234">
        <v>20000</v>
      </c>
      <c r="F64" s="249"/>
      <c r="G64" s="249">
        <f t="shared" si="13"/>
        <v>20000</v>
      </c>
      <c r="H64" s="249"/>
      <c r="I64" s="210">
        <f t="shared" si="0"/>
        <v>0</v>
      </c>
      <c r="J64" s="206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</row>
    <row r="65" spans="1:26" ht="42" x14ac:dyDescent="0.35">
      <c r="A65" s="219"/>
      <c r="B65" s="220"/>
      <c r="C65" s="220"/>
      <c r="D65" s="675" t="s">
        <v>245</v>
      </c>
      <c r="E65" s="234">
        <v>54000</v>
      </c>
      <c r="F65" s="249">
        <f>1225+1225+1225+350+700+2450+4200+1650+2100+1225+3500+1225+1750+875+1225+4750+1050+1225</f>
        <v>31950</v>
      </c>
      <c r="G65" s="249">
        <f t="shared" si="13"/>
        <v>22050</v>
      </c>
      <c r="H65" s="249"/>
      <c r="I65" s="249">
        <f t="shared" si="0"/>
        <v>59.166666666666664</v>
      </c>
      <c r="J65" s="206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</row>
    <row r="66" spans="1:26" x14ac:dyDescent="0.35">
      <c r="A66" s="219"/>
      <c r="B66" s="220"/>
      <c r="C66" s="220"/>
      <c r="D66" s="681" t="s">
        <v>252</v>
      </c>
      <c r="E66" s="234">
        <v>156000</v>
      </c>
      <c r="F66" s="249">
        <f>4541+6811+11163.4+4964</f>
        <v>27479.4</v>
      </c>
      <c r="G66" s="249">
        <f t="shared" si="13"/>
        <v>128520.6</v>
      </c>
      <c r="H66" s="249"/>
      <c r="I66" s="249">
        <f t="shared" si="0"/>
        <v>17.614999999999998</v>
      </c>
      <c r="J66" s="206"/>
      <c r="K66" s="192"/>
      <c r="L66" s="192"/>
      <c r="M66" s="192"/>
      <c r="N66" s="192"/>
      <c r="O66" s="192"/>
      <c r="P66" s="192"/>
      <c r="Q66" s="192"/>
      <c r="R66" s="192"/>
      <c r="S66" s="192"/>
      <c r="T66" s="192"/>
      <c r="U66" s="192"/>
      <c r="V66" s="192"/>
      <c r="W66" s="192"/>
      <c r="X66" s="192"/>
      <c r="Y66" s="192"/>
      <c r="Z66" s="192"/>
    </row>
    <row r="67" spans="1:26" s="673" customFormat="1" x14ac:dyDescent="0.2">
      <c r="A67" s="803" t="s">
        <v>83</v>
      </c>
      <c r="B67" s="803"/>
      <c r="C67" s="803"/>
      <c r="D67" s="803"/>
      <c r="E67" s="200">
        <f>E6+E13+E19+E21+E50+E59</f>
        <v>8000000</v>
      </c>
      <c r="F67" s="256">
        <f>F6+F13+F19+F21+F50+F59</f>
        <v>2353458.9700000002</v>
      </c>
      <c r="G67" s="256">
        <f>G6+G13+G19+G21+G50+G59</f>
        <v>5646541.0299999993</v>
      </c>
      <c r="H67" s="256">
        <f>H6+H13+H19+H21+H50+H59</f>
        <v>5000</v>
      </c>
      <c r="I67" s="256">
        <f t="shared" si="0"/>
        <v>29.418237125000005</v>
      </c>
      <c r="J67" s="211"/>
    </row>
    <row r="68" spans="1:26" x14ac:dyDescent="0.2">
      <c r="J68" s="225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92"/>
      <c r="W68" s="192"/>
      <c r="X68" s="192"/>
      <c r="Y68" s="192"/>
      <c r="Z68" s="192"/>
    </row>
  </sheetData>
  <mergeCells count="24">
    <mergeCell ref="A59:D59"/>
    <mergeCell ref="C51:D51"/>
    <mergeCell ref="G3:J3"/>
    <mergeCell ref="A1:J1"/>
    <mergeCell ref="A2:J2"/>
    <mergeCell ref="A4:D5"/>
    <mergeCell ref="F4:I4"/>
    <mergeCell ref="J4:J5"/>
    <mergeCell ref="K37:O37"/>
    <mergeCell ref="C38:D38"/>
    <mergeCell ref="A67:D67"/>
    <mergeCell ref="E4:E5"/>
    <mergeCell ref="B7:D7"/>
    <mergeCell ref="A13:D13"/>
    <mergeCell ref="C14:D14"/>
    <mergeCell ref="A19:D19"/>
    <mergeCell ref="C20:D20"/>
    <mergeCell ref="C37:D37"/>
    <mergeCell ref="B30:D30"/>
    <mergeCell ref="A6:D6"/>
    <mergeCell ref="A21:D21"/>
    <mergeCell ref="C22:D22"/>
    <mergeCell ref="C60:D60"/>
    <mergeCell ref="A50:D50"/>
  </mergeCells>
  <pageMargins left="0.19685039370078741" right="0.19685039370078741" top="0.27559055118110237" bottom="0.19685039370078741" header="0.31496062992125984" footer="0.19685039370078741"/>
  <pageSetup paperSize="9" scale="7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G6"/>
  <sheetViews>
    <sheetView workbookViewId="0">
      <selection activeCell="D6" sqref="D6"/>
    </sheetView>
  </sheetViews>
  <sheetFormatPr defaultRowHeight="14.25" x14ac:dyDescent="0.2"/>
  <cols>
    <col min="2" max="2" width="53.625" customWidth="1"/>
    <col min="3" max="3" width="11.875" customWidth="1"/>
    <col min="4" max="4" width="11.125" customWidth="1"/>
    <col min="5" max="5" width="6.25" customWidth="1"/>
    <col min="6" max="6" width="11.375" customWidth="1"/>
    <col min="7" max="7" width="13.25" customWidth="1"/>
  </cols>
  <sheetData>
    <row r="1" spans="1:7" ht="23.25" x14ac:dyDescent="0.2">
      <c r="A1" s="819" t="s">
        <v>342</v>
      </c>
      <c r="B1" s="820"/>
      <c r="C1" s="820"/>
      <c r="D1" s="820"/>
      <c r="E1" s="820"/>
      <c r="F1" s="820"/>
      <c r="G1" s="820"/>
    </row>
    <row r="3" spans="1:7" ht="21" x14ac:dyDescent="0.2">
      <c r="A3" s="821" t="s">
        <v>343</v>
      </c>
      <c r="B3" s="821" t="s">
        <v>0</v>
      </c>
      <c r="C3" s="821" t="s">
        <v>1</v>
      </c>
      <c r="D3" s="821" t="s">
        <v>344</v>
      </c>
      <c r="E3" s="821"/>
      <c r="F3" s="821"/>
      <c r="G3" s="821" t="s">
        <v>345</v>
      </c>
    </row>
    <row r="4" spans="1:7" ht="21" x14ac:dyDescent="0.2">
      <c r="A4" s="821"/>
      <c r="B4" s="821"/>
      <c r="C4" s="821"/>
      <c r="D4" s="369" t="s">
        <v>346</v>
      </c>
      <c r="E4" s="369" t="s">
        <v>194</v>
      </c>
      <c r="F4" s="369" t="s">
        <v>347</v>
      </c>
      <c r="G4" s="821"/>
    </row>
    <row r="5" spans="1:7" ht="53.25" customHeight="1" x14ac:dyDescent="0.35">
      <c r="A5" s="370">
        <v>1</v>
      </c>
      <c r="B5" s="371" t="s">
        <v>348</v>
      </c>
      <c r="C5" s="372">
        <v>250000</v>
      </c>
      <c r="D5" s="373">
        <f>15000+15000+42083+15000+15000</f>
        <v>102083</v>
      </c>
      <c r="E5" s="374">
        <f>D5*100/C5</f>
        <v>40.833199999999998</v>
      </c>
      <c r="F5" s="375">
        <f>C5-D5</f>
        <v>147917</v>
      </c>
      <c r="G5" s="376" t="s">
        <v>349</v>
      </c>
    </row>
    <row r="6" spans="1:7" ht="21" x14ac:dyDescent="0.35">
      <c r="A6" s="377"/>
      <c r="B6" s="377" t="s">
        <v>3</v>
      </c>
      <c r="C6" s="378">
        <f>C5</f>
        <v>250000</v>
      </c>
      <c r="D6" s="378">
        <f>D5</f>
        <v>102083</v>
      </c>
      <c r="E6" s="379">
        <f>E5</f>
        <v>40.833199999999998</v>
      </c>
      <c r="F6" s="378">
        <f>F5</f>
        <v>147917</v>
      </c>
      <c r="G6" s="380"/>
    </row>
  </sheetData>
  <mergeCells count="6">
    <mergeCell ref="A1:G1"/>
    <mergeCell ref="A3:A4"/>
    <mergeCell ref="B3:B4"/>
    <mergeCell ref="C3:C4"/>
    <mergeCell ref="D3:F3"/>
    <mergeCell ref="G3:G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topLeftCell="A6" zoomScale="80" zoomScaleNormal="80" workbookViewId="0">
      <selection activeCell="S72" sqref="S72"/>
    </sheetView>
  </sheetViews>
  <sheetFormatPr defaultRowHeight="21" x14ac:dyDescent="0.2"/>
  <cols>
    <col min="1" max="1" width="4" style="192" customWidth="1"/>
    <col min="2" max="2" width="1.25" style="192" customWidth="1"/>
    <col min="3" max="3" width="1.125" style="192" customWidth="1"/>
    <col min="4" max="4" width="1.625" style="192" customWidth="1"/>
    <col min="5" max="5" width="40.5" style="192" customWidth="1"/>
    <col min="6" max="6" width="14.875" style="192" customWidth="1"/>
    <col min="7" max="7" width="13.75" style="224" customWidth="1"/>
    <col min="8" max="8" width="11.125" style="224" customWidth="1"/>
    <col min="9" max="9" width="10.875" style="224" customWidth="1"/>
    <col min="10" max="10" width="14.25" style="224" customWidth="1"/>
    <col min="11" max="11" width="12.5" style="224" customWidth="1"/>
    <col min="12" max="12" width="13.375" style="224" customWidth="1"/>
    <col min="13" max="13" width="12.5" style="224" customWidth="1"/>
    <col min="14" max="14" width="12.625" style="224" hidden="1" customWidth="1"/>
    <col min="15" max="15" width="15" style="224" hidden="1" customWidth="1"/>
    <col min="16" max="16" width="7.875" style="224" hidden="1" customWidth="1"/>
    <col min="17" max="17" width="11.125" style="224" hidden="1" customWidth="1"/>
    <col min="18" max="18" width="14.25" style="224" customWidth="1"/>
    <col min="19" max="19" width="11.625" style="192" customWidth="1"/>
    <col min="20" max="16384" width="9" style="192"/>
  </cols>
  <sheetData>
    <row r="1" spans="1:19" ht="23.25" x14ac:dyDescent="0.2">
      <c r="A1" s="396"/>
      <c r="B1" s="822" t="s">
        <v>369</v>
      </c>
      <c r="C1" s="822"/>
      <c r="D1" s="822"/>
      <c r="E1" s="822"/>
      <c r="F1" s="822"/>
      <c r="G1" s="822"/>
      <c r="H1" s="822"/>
      <c r="I1" s="822"/>
      <c r="J1" s="822"/>
      <c r="K1" s="822"/>
      <c r="L1" s="822"/>
      <c r="M1" s="822"/>
      <c r="N1" s="822"/>
      <c r="O1" s="822"/>
      <c r="P1" s="822"/>
      <c r="Q1" s="822"/>
      <c r="R1" s="822"/>
      <c r="S1" s="396"/>
    </row>
    <row r="2" spans="1:19" x14ac:dyDescent="0.2">
      <c r="A2" s="835" t="s">
        <v>370</v>
      </c>
      <c r="B2" s="835"/>
      <c r="C2" s="835"/>
      <c r="D2" s="835"/>
      <c r="E2" s="835"/>
      <c r="F2" s="835"/>
      <c r="G2" s="835"/>
      <c r="H2" s="835"/>
      <c r="I2" s="835"/>
      <c r="J2" s="835"/>
      <c r="K2" s="835"/>
      <c r="L2" s="835"/>
      <c r="M2" s="835"/>
      <c r="N2" s="835"/>
      <c r="O2" s="835"/>
      <c r="P2" s="835"/>
      <c r="Q2" s="835"/>
      <c r="R2" s="835"/>
      <c r="S2" s="396"/>
    </row>
    <row r="3" spans="1:19" s="194" customFormat="1" ht="61.5" customHeight="1" x14ac:dyDescent="0.2">
      <c r="A3" s="399" t="s">
        <v>89</v>
      </c>
      <c r="B3" s="823" t="s">
        <v>371</v>
      </c>
      <c r="C3" s="823"/>
      <c r="D3" s="823"/>
      <c r="E3" s="823"/>
      <c r="F3" s="397" t="s">
        <v>375</v>
      </c>
      <c r="G3" s="397" t="s">
        <v>4</v>
      </c>
      <c r="H3" s="397" t="s">
        <v>5</v>
      </c>
      <c r="I3" s="397" t="s">
        <v>186</v>
      </c>
      <c r="J3" s="397" t="s">
        <v>187</v>
      </c>
      <c r="K3" s="397" t="s">
        <v>262</v>
      </c>
      <c r="L3" s="397" t="s">
        <v>188</v>
      </c>
      <c r="M3" s="397" t="s">
        <v>189</v>
      </c>
      <c r="N3" s="397" t="s">
        <v>192</v>
      </c>
      <c r="O3" s="397" t="s">
        <v>193</v>
      </c>
      <c r="P3" s="397" t="s">
        <v>194</v>
      </c>
      <c r="Q3" s="397"/>
      <c r="R3" s="398" t="s">
        <v>372</v>
      </c>
      <c r="S3" s="399" t="s">
        <v>373</v>
      </c>
    </row>
    <row r="4" spans="1:19" s="385" customFormat="1" ht="46.5" customHeight="1" x14ac:dyDescent="0.2">
      <c r="A4" s="408"/>
      <c r="B4" s="828" t="s">
        <v>7</v>
      </c>
      <c r="C4" s="828"/>
      <c r="D4" s="828"/>
      <c r="E4" s="828"/>
      <c r="F4" s="401"/>
      <c r="G4" s="401"/>
      <c r="H4" s="401"/>
      <c r="I4" s="401"/>
      <c r="J4" s="401"/>
      <c r="K4" s="401"/>
      <c r="L4" s="401"/>
      <c r="M4" s="401"/>
      <c r="N4" s="402"/>
      <c r="O4" s="402"/>
      <c r="P4" s="403"/>
      <c r="Q4" s="403"/>
      <c r="R4" s="401"/>
      <c r="S4" s="400"/>
    </row>
    <row r="5" spans="1:19" s="385" customFormat="1" ht="39.75" customHeight="1" x14ac:dyDescent="0.2">
      <c r="A5" s="408"/>
      <c r="B5" s="404"/>
      <c r="C5" s="824" t="s">
        <v>135</v>
      </c>
      <c r="D5" s="824"/>
      <c r="E5" s="825"/>
      <c r="F5" s="405"/>
      <c r="G5" s="405"/>
      <c r="H5" s="405"/>
      <c r="I5" s="405"/>
      <c r="J5" s="405"/>
      <c r="K5" s="405"/>
      <c r="L5" s="405"/>
      <c r="M5" s="405"/>
      <c r="N5" s="406" t="e">
        <f>#REF!+#REF!</f>
        <v>#REF!</v>
      </c>
      <c r="O5" s="406" t="e">
        <f>#REF!+#REF!</f>
        <v>#REF!</v>
      </c>
      <c r="P5" s="406" t="e">
        <f>N5*100/F5</f>
        <v>#REF!</v>
      </c>
      <c r="Q5" s="406"/>
      <c r="R5" s="407"/>
      <c r="S5" s="400"/>
    </row>
    <row r="6" spans="1:19" ht="60.75" x14ac:dyDescent="0.2">
      <c r="A6" s="408"/>
      <c r="B6" s="409"/>
      <c r="C6" s="410"/>
      <c r="D6" s="410"/>
      <c r="E6" s="411" t="s">
        <v>352</v>
      </c>
      <c r="F6" s="412"/>
      <c r="G6" s="412"/>
      <c r="H6" s="412"/>
      <c r="I6" s="413"/>
      <c r="J6" s="412"/>
      <c r="K6" s="412"/>
      <c r="L6" s="412"/>
      <c r="M6" s="412"/>
      <c r="N6" s="414" t="e">
        <f>#REF!+#REF!</f>
        <v>#REF!</v>
      </c>
      <c r="O6" s="414" t="e">
        <f>#REF!+#REF!</f>
        <v>#REF!</v>
      </c>
      <c r="P6" s="415" t="e">
        <f t="shared" ref="P6" si="0">N6*100/F6</f>
        <v>#REF!</v>
      </c>
      <c r="Q6" s="415"/>
      <c r="R6" s="416"/>
      <c r="S6" s="408"/>
    </row>
    <row r="7" spans="1:19" ht="45" customHeight="1" x14ac:dyDescent="0.2">
      <c r="A7" s="408">
        <v>1</v>
      </c>
      <c r="B7" s="409"/>
      <c r="C7" s="410"/>
      <c r="D7" s="410"/>
      <c r="E7" s="411" t="s">
        <v>15</v>
      </c>
      <c r="F7" s="412">
        <f>G7</f>
        <v>3331600</v>
      </c>
      <c r="G7" s="417">
        <v>3331600</v>
      </c>
      <c r="H7" s="412">
        <v>0</v>
      </c>
      <c r="I7" s="418" t="s">
        <v>360</v>
      </c>
      <c r="J7" s="412"/>
      <c r="K7" s="412"/>
      <c r="L7" s="412"/>
      <c r="M7" s="412"/>
      <c r="N7" s="414"/>
      <c r="O7" s="414">
        <f>G7-N7</f>
        <v>3331600</v>
      </c>
      <c r="P7" s="414">
        <v>0</v>
      </c>
      <c r="Q7" s="414"/>
      <c r="R7" s="416" t="s">
        <v>14</v>
      </c>
      <c r="S7" s="408"/>
    </row>
    <row r="8" spans="1:19" ht="45" customHeight="1" x14ac:dyDescent="0.2">
      <c r="A8" s="408">
        <v>2</v>
      </c>
      <c r="B8" s="409"/>
      <c r="C8" s="410"/>
      <c r="D8" s="410"/>
      <c r="E8" s="411" t="s">
        <v>300</v>
      </c>
      <c r="F8" s="412">
        <f>G8</f>
        <v>2000000</v>
      </c>
      <c r="G8" s="417">
        <v>2000000</v>
      </c>
      <c r="H8" s="412">
        <v>0</v>
      </c>
      <c r="I8" s="412" t="s">
        <v>376</v>
      </c>
      <c r="J8" s="412"/>
      <c r="K8" s="412"/>
      <c r="L8" s="412"/>
      <c r="M8" s="412"/>
      <c r="N8" s="414"/>
      <c r="O8" s="414">
        <f>G8-N8</f>
        <v>2000000</v>
      </c>
      <c r="P8" s="414">
        <v>0</v>
      </c>
      <c r="Q8" s="414"/>
      <c r="R8" s="416" t="s">
        <v>14</v>
      </c>
      <c r="S8" s="408"/>
    </row>
    <row r="9" spans="1:19" ht="81" x14ac:dyDescent="0.2">
      <c r="A9" s="408"/>
      <c r="B9" s="409"/>
      <c r="C9" s="410"/>
      <c r="D9" s="410"/>
      <c r="E9" s="411" t="s">
        <v>302</v>
      </c>
      <c r="F9" s="412"/>
      <c r="G9" s="412"/>
      <c r="H9" s="419"/>
      <c r="I9" s="413"/>
      <c r="J9" s="419"/>
      <c r="K9" s="419"/>
      <c r="L9" s="419"/>
      <c r="M9" s="419"/>
      <c r="N9" s="415" t="e">
        <f>#REF!+#REF!</f>
        <v>#REF!</v>
      </c>
      <c r="O9" s="415" t="e">
        <f>#REF!+#REF!</f>
        <v>#REF!</v>
      </c>
      <c r="P9" s="415" t="e">
        <f>N9*100/F9</f>
        <v>#REF!</v>
      </c>
      <c r="Q9" s="415"/>
      <c r="R9" s="416"/>
      <c r="S9" s="408"/>
    </row>
    <row r="10" spans="1:19" ht="40.5" hidden="1" x14ac:dyDescent="0.2">
      <c r="A10" s="408"/>
      <c r="B10" s="420"/>
      <c r="C10" s="421"/>
      <c r="D10" s="421"/>
      <c r="E10" s="422" t="s">
        <v>279</v>
      </c>
      <c r="F10" s="423"/>
      <c r="G10" s="423"/>
      <c r="H10" s="424">
        <v>1400</v>
      </c>
      <c r="I10" s="425" t="s">
        <v>278</v>
      </c>
      <c r="J10" s="424"/>
      <c r="K10" s="424"/>
      <c r="L10" s="424"/>
      <c r="M10" s="424"/>
      <c r="N10" s="426"/>
      <c r="O10" s="426"/>
      <c r="P10" s="426"/>
      <c r="Q10" s="427">
        <v>1400</v>
      </c>
      <c r="R10" s="428" t="s">
        <v>21</v>
      </c>
      <c r="S10" s="408"/>
    </row>
    <row r="11" spans="1:19" ht="40.5" hidden="1" x14ac:dyDescent="0.2">
      <c r="A11" s="408"/>
      <c r="B11" s="420"/>
      <c r="C11" s="421"/>
      <c r="D11" s="421"/>
      <c r="E11" s="422" t="s">
        <v>283</v>
      </c>
      <c r="F11" s="423"/>
      <c r="G11" s="423"/>
      <c r="H11" s="424">
        <v>5670</v>
      </c>
      <c r="I11" s="425" t="s">
        <v>278</v>
      </c>
      <c r="J11" s="424"/>
      <c r="K11" s="424"/>
      <c r="L11" s="424"/>
      <c r="M11" s="424"/>
      <c r="N11" s="426"/>
      <c r="O11" s="426"/>
      <c r="P11" s="426"/>
      <c r="Q11" s="427">
        <v>5670</v>
      </c>
      <c r="R11" s="428" t="s">
        <v>21</v>
      </c>
      <c r="S11" s="408"/>
    </row>
    <row r="12" spans="1:19" ht="35.25" hidden="1" customHeight="1" x14ac:dyDescent="0.2">
      <c r="A12" s="408"/>
      <c r="B12" s="420"/>
      <c r="C12" s="421"/>
      <c r="D12" s="421"/>
      <c r="E12" s="422" t="s">
        <v>284</v>
      </c>
      <c r="F12" s="423"/>
      <c r="G12" s="423"/>
      <c r="H12" s="424">
        <v>9000</v>
      </c>
      <c r="I12" s="425" t="s">
        <v>278</v>
      </c>
      <c r="J12" s="424"/>
      <c r="K12" s="424"/>
      <c r="L12" s="424"/>
      <c r="M12" s="424"/>
      <c r="N12" s="426"/>
      <c r="O12" s="426"/>
      <c r="P12" s="426"/>
      <c r="Q12" s="427">
        <v>9000</v>
      </c>
      <c r="R12" s="428" t="s">
        <v>21</v>
      </c>
      <c r="S12" s="408"/>
    </row>
    <row r="13" spans="1:19" ht="40.5" hidden="1" x14ac:dyDescent="0.2">
      <c r="A13" s="408"/>
      <c r="B13" s="420"/>
      <c r="C13" s="421"/>
      <c r="D13" s="421"/>
      <c r="E13" s="422" t="s">
        <v>285</v>
      </c>
      <c r="F13" s="423"/>
      <c r="G13" s="423"/>
      <c r="H13" s="424">
        <v>105250</v>
      </c>
      <c r="I13" s="425" t="s">
        <v>278</v>
      </c>
      <c r="J13" s="424"/>
      <c r="K13" s="424"/>
      <c r="L13" s="424"/>
      <c r="M13" s="424"/>
      <c r="N13" s="426"/>
      <c r="O13" s="426"/>
      <c r="P13" s="426"/>
      <c r="Q13" s="427">
        <v>105250</v>
      </c>
      <c r="R13" s="428" t="s">
        <v>286</v>
      </c>
      <c r="S13" s="408"/>
    </row>
    <row r="14" spans="1:19" ht="29.25" customHeight="1" x14ac:dyDescent="0.2">
      <c r="A14" s="408">
        <v>3</v>
      </c>
      <c r="B14" s="409"/>
      <c r="C14" s="410"/>
      <c r="D14" s="410"/>
      <c r="E14" s="411" t="s">
        <v>16</v>
      </c>
      <c r="F14" s="429">
        <f>G14</f>
        <v>341500</v>
      </c>
      <c r="G14" s="430">
        <v>341500</v>
      </c>
      <c r="H14" s="431">
        <v>0</v>
      </c>
      <c r="I14" s="432" t="s">
        <v>356</v>
      </c>
      <c r="J14" s="431"/>
      <c r="K14" s="431"/>
      <c r="L14" s="431"/>
      <c r="M14" s="431"/>
      <c r="N14" s="415"/>
      <c r="O14" s="415">
        <f>G14-N14</f>
        <v>341500</v>
      </c>
      <c r="P14" s="415">
        <v>0</v>
      </c>
      <c r="Q14" s="415"/>
      <c r="R14" s="416" t="s">
        <v>39</v>
      </c>
      <c r="S14" s="408"/>
    </row>
    <row r="15" spans="1:19" x14ac:dyDescent="0.2">
      <c r="A15" s="408">
        <v>4</v>
      </c>
      <c r="B15" s="409"/>
      <c r="C15" s="410"/>
      <c r="D15" s="410"/>
      <c r="E15" s="411" t="s">
        <v>17</v>
      </c>
      <c r="F15" s="429">
        <f>G15</f>
        <v>147000</v>
      </c>
      <c r="G15" s="430">
        <v>147000</v>
      </c>
      <c r="H15" s="431">
        <v>0</v>
      </c>
      <c r="I15" s="432" t="s">
        <v>356</v>
      </c>
      <c r="J15" s="431"/>
      <c r="K15" s="431"/>
      <c r="L15" s="431"/>
      <c r="M15" s="431"/>
      <c r="N15" s="415"/>
      <c r="O15" s="415">
        <f t="shared" ref="O15:O18" si="1">G15-N15</f>
        <v>147000</v>
      </c>
      <c r="P15" s="415">
        <v>0</v>
      </c>
      <c r="Q15" s="415"/>
      <c r="R15" s="416" t="s">
        <v>39</v>
      </c>
      <c r="S15" s="408"/>
    </row>
    <row r="16" spans="1:19" ht="80.25" customHeight="1" x14ac:dyDescent="0.2">
      <c r="A16" s="408">
        <v>5</v>
      </c>
      <c r="B16" s="409"/>
      <c r="C16" s="410"/>
      <c r="D16" s="410"/>
      <c r="E16" s="411" t="s">
        <v>18</v>
      </c>
      <c r="F16" s="429">
        <f>G16</f>
        <v>594000</v>
      </c>
      <c r="G16" s="430">
        <v>594000</v>
      </c>
      <c r="H16" s="431">
        <v>0</v>
      </c>
      <c r="I16" s="432" t="s">
        <v>357</v>
      </c>
      <c r="J16" s="431"/>
      <c r="K16" s="431"/>
      <c r="L16" s="431"/>
      <c r="M16" s="431"/>
      <c r="N16" s="415"/>
      <c r="O16" s="415">
        <f t="shared" si="1"/>
        <v>594000</v>
      </c>
      <c r="P16" s="415">
        <v>0</v>
      </c>
      <c r="Q16" s="415"/>
      <c r="R16" s="433" t="s">
        <v>25</v>
      </c>
      <c r="S16" s="408"/>
    </row>
    <row r="17" spans="1:19" ht="40.5" x14ac:dyDescent="0.2">
      <c r="A17" s="408">
        <v>6</v>
      </c>
      <c r="B17" s="434"/>
      <c r="C17" s="435"/>
      <c r="D17" s="435"/>
      <c r="E17" s="436" t="s">
        <v>19</v>
      </c>
      <c r="F17" s="437">
        <f>G17</f>
        <v>396000</v>
      </c>
      <c r="G17" s="438">
        <v>396000</v>
      </c>
      <c r="H17" s="439">
        <v>0</v>
      </c>
      <c r="I17" s="440" t="s">
        <v>358</v>
      </c>
      <c r="J17" s="439"/>
      <c r="K17" s="439"/>
      <c r="L17" s="439"/>
      <c r="M17" s="439"/>
      <c r="N17" s="441"/>
      <c r="O17" s="441">
        <f t="shared" si="1"/>
        <v>396000</v>
      </c>
      <c r="P17" s="441">
        <v>0</v>
      </c>
      <c r="Q17" s="441"/>
      <c r="R17" s="442" t="s">
        <v>25</v>
      </c>
      <c r="S17" s="408"/>
    </row>
    <row r="18" spans="1:19" ht="40.5" x14ac:dyDescent="0.2">
      <c r="A18" s="408">
        <v>7</v>
      </c>
      <c r="B18" s="434"/>
      <c r="C18" s="435"/>
      <c r="D18" s="435"/>
      <c r="E18" s="436" t="s">
        <v>20</v>
      </c>
      <c r="F18" s="437">
        <f>G18</f>
        <v>450000</v>
      </c>
      <c r="G18" s="438">
        <v>450000</v>
      </c>
      <c r="H18" s="439">
        <v>0</v>
      </c>
      <c r="I18" s="440" t="s">
        <v>359</v>
      </c>
      <c r="J18" s="439"/>
      <c r="K18" s="439"/>
      <c r="L18" s="439"/>
      <c r="M18" s="439"/>
      <c r="N18" s="441"/>
      <c r="O18" s="441">
        <f t="shared" si="1"/>
        <v>450000</v>
      </c>
      <c r="P18" s="441">
        <v>0</v>
      </c>
      <c r="Q18" s="441"/>
      <c r="R18" s="416" t="s">
        <v>39</v>
      </c>
      <c r="S18" s="408"/>
    </row>
    <row r="19" spans="1:19" s="385" customFormat="1" ht="25.5" customHeight="1" x14ac:dyDescent="0.2">
      <c r="A19" s="408"/>
      <c r="B19" s="404"/>
      <c r="C19" s="824" t="s">
        <v>147</v>
      </c>
      <c r="D19" s="824"/>
      <c r="E19" s="825"/>
      <c r="F19" s="443"/>
      <c r="G19" s="405"/>
      <c r="H19" s="405"/>
      <c r="I19" s="405"/>
      <c r="J19" s="405"/>
      <c r="K19" s="405"/>
      <c r="L19" s="405"/>
      <c r="M19" s="405"/>
      <c r="N19" s="406" t="e">
        <f>N20+N24+N32</f>
        <v>#REF!</v>
      </c>
      <c r="O19" s="444" t="e">
        <f>O20+O24+O32</f>
        <v>#REF!</v>
      </c>
      <c r="P19" s="444" t="e">
        <f>N19*100/L19</f>
        <v>#REF!</v>
      </c>
      <c r="Q19" s="444"/>
      <c r="R19" s="407"/>
      <c r="S19" s="400"/>
    </row>
    <row r="20" spans="1:19" s="385" customFormat="1" x14ac:dyDescent="0.2">
      <c r="A20" s="408"/>
      <c r="B20" s="445"/>
      <c r="C20" s="446"/>
      <c r="D20" s="826" t="s">
        <v>148</v>
      </c>
      <c r="E20" s="827"/>
      <c r="F20" s="443"/>
      <c r="G20" s="443"/>
      <c r="H20" s="443"/>
      <c r="I20" s="443"/>
      <c r="J20" s="443"/>
      <c r="K20" s="443"/>
      <c r="L20" s="443"/>
      <c r="M20" s="443"/>
      <c r="N20" s="444" t="e">
        <f>#REF!+N21+N22+N23</f>
        <v>#REF!</v>
      </c>
      <c r="O20" s="444" t="e">
        <f>#REF!+O21+O22+O23</f>
        <v>#REF!</v>
      </c>
      <c r="P20" s="444" t="e">
        <f>N20*100/L20</f>
        <v>#REF!</v>
      </c>
      <c r="Q20" s="444"/>
      <c r="R20" s="407"/>
      <c r="S20" s="400"/>
    </row>
    <row r="21" spans="1:19" s="385" customFormat="1" ht="60.75" x14ac:dyDescent="0.2">
      <c r="A21" s="408">
        <v>8</v>
      </c>
      <c r="B21" s="445"/>
      <c r="C21" s="446"/>
      <c r="D21" s="451"/>
      <c r="E21" s="411" t="s">
        <v>271</v>
      </c>
      <c r="F21" s="449">
        <f>G21</f>
        <v>4684400</v>
      </c>
      <c r="G21" s="412">
        <v>4684400</v>
      </c>
      <c r="H21" s="419">
        <v>0</v>
      </c>
      <c r="I21" s="452" t="s">
        <v>374</v>
      </c>
      <c r="J21" s="452" t="s">
        <v>317</v>
      </c>
      <c r="K21" s="452" t="s">
        <v>318</v>
      </c>
      <c r="L21" s="419">
        <v>4275000</v>
      </c>
      <c r="M21" s="419">
        <f>G21-L21</f>
        <v>409400</v>
      </c>
      <c r="N21" s="415"/>
      <c r="O21" s="441">
        <f>L21-N21</f>
        <v>4275000</v>
      </c>
      <c r="P21" s="441">
        <f>N21*100/L21</f>
        <v>0</v>
      </c>
      <c r="Q21" s="441"/>
      <c r="R21" s="416" t="s">
        <v>25</v>
      </c>
      <c r="S21" s="400"/>
    </row>
    <row r="22" spans="1:19" ht="60.75" x14ac:dyDescent="0.2">
      <c r="A22" s="408">
        <v>9</v>
      </c>
      <c r="B22" s="409"/>
      <c r="C22" s="410"/>
      <c r="D22" s="410"/>
      <c r="E22" s="453" t="s">
        <v>272</v>
      </c>
      <c r="F22" s="449">
        <f>G22</f>
        <v>2426300</v>
      </c>
      <c r="G22" s="412">
        <f>3381000-954700</f>
        <v>2426300</v>
      </c>
      <c r="H22" s="450">
        <v>0</v>
      </c>
      <c r="I22" s="452" t="s">
        <v>374</v>
      </c>
      <c r="J22" s="452" t="s">
        <v>319</v>
      </c>
      <c r="K22" s="454" t="s">
        <v>320</v>
      </c>
      <c r="L22" s="450">
        <v>2129000</v>
      </c>
      <c r="M22" s="419">
        <f>G22-L22</f>
        <v>297300</v>
      </c>
      <c r="N22" s="441"/>
      <c r="O22" s="441">
        <f>L22-N22</f>
        <v>2129000</v>
      </c>
      <c r="P22" s="441">
        <f t="shared" ref="P22:P23" si="2">N22*100/L22</f>
        <v>0</v>
      </c>
      <c r="Q22" s="441"/>
      <c r="R22" s="407" t="s">
        <v>24</v>
      </c>
      <c r="S22" s="408"/>
    </row>
    <row r="23" spans="1:19" ht="60.75" x14ac:dyDescent="0.2">
      <c r="A23" s="408">
        <v>10</v>
      </c>
      <c r="B23" s="409"/>
      <c r="C23" s="410"/>
      <c r="D23" s="410"/>
      <c r="E23" s="453" t="s">
        <v>273</v>
      </c>
      <c r="F23" s="449">
        <f>G23</f>
        <v>2476500</v>
      </c>
      <c r="G23" s="412">
        <v>2476500</v>
      </c>
      <c r="H23" s="419">
        <v>0</v>
      </c>
      <c r="I23" s="452" t="s">
        <v>374</v>
      </c>
      <c r="J23" s="452" t="s">
        <v>321</v>
      </c>
      <c r="K23" s="452" t="s">
        <v>322</v>
      </c>
      <c r="L23" s="419">
        <v>2377000</v>
      </c>
      <c r="M23" s="419">
        <f>G23-L23</f>
        <v>99500</v>
      </c>
      <c r="N23" s="415"/>
      <c r="O23" s="441">
        <f>L23-N23</f>
        <v>2377000</v>
      </c>
      <c r="P23" s="441">
        <f t="shared" si="2"/>
        <v>0</v>
      </c>
      <c r="Q23" s="441"/>
      <c r="R23" s="407" t="s">
        <v>27</v>
      </c>
      <c r="S23" s="408"/>
    </row>
    <row r="24" spans="1:19" s="385" customFormat="1" ht="42.75" customHeight="1" x14ac:dyDescent="0.2">
      <c r="A24" s="408"/>
      <c r="B24" s="445"/>
      <c r="C24" s="446"/>
      <c r="D24" s="826" t="s">
        <v>149</v>
      </c>
      <c r="E24" s="827"/>
      <c r="F24" s="443"/>
      <c r="G24" s="443"/>
      <c r="H24" s="443"/>
      <c r="I24" s="443"/>
      <c r="J24" s="443"/>
      <c r="K24" s="443"/>
      <c r="L24" s="443"/>
      <c r="M24" s="443"/>
      <c r="N24" s="444">
        <f t="shared" ref="N24:O24" si="3">N25+N26+N27+N28+N29+N30+N31</f>
        <v>0</v>
      </c>
      <c r="O24" s="444">
        <f t="shared" si="3"/>
        <v>18571000</v>
      </c>
      <c r="P24" s="444" t="e">
        <f>N24*100/L24</f>
        <v>#DIV/0!</v>
      </c>
      <c r="Q24" s="444"/>
      <c r="R24" s="407"/>
      <c r="S24" s="400"/>
    </row>
    <row r="25" spans="1:19" ht="72.75" customHeight="1" x14ac:dyDescent="0.2">
      <c r="A25" s="408">
        <v>11</v>
      </c>
      <c r="B25" s="434"/>
      <c r="C25" s="435"/>
      <c r="D25" s="435"/>
      <c r="E25" s="436" t="s">
        <v>384</v>
      </c>
      <c r="F25" s="412">
        <f>G25</f>
        <v>2401000</v>
      </c>
      <c r="G25" s="412">
        <v>2401000</v>
      </c>
      <c r="H25" s="419">
        <v>0</v>
      </c>
      <c r="I25" s="452" t="s">
        <v>374</v>
      </c>
      <c r="J25" s="452" t="s">
        <v>330</v>
      </c>
      <c r="K25" s="454" t="s">
        <v>324</v>
      </c>
      <c r="L25" s="419">
        <v>2390000</v>
      </c>
      <c r="M25" s="419">
        <f>G25-L25</f>
        <v>11000</v>
      </c>
      <c r="N25" s="415"/>
      <c r="O25" s="415">
        <f>G25-N25</f>
        <v>2401000</v>
      </c>
      <c r="P25" s="415">
        <f>N25*100/L25</f>
        <v>0</v>
      </c>
      <c r="Q25" s="415"/>
      <c r="R25" s="455" t="s">
        <v>28</v>
      </c>
      <c r="S25" s="408"/>
    </row>
    <row r="26" spans="1:19" ht="60.75" x14ac:dyDescent="0.2">
      <c r="A26" s="408">
        <v>12</v>
      </c>
      <c r="B26" s="409"/>
      <c r="C26" s="410"/>
      <c r="D26" s="410"/>
      <c r="E26" s="453" t="s">
        <v>274</v>
      </c>
      <c r="F26" s="412">
        <f t="shared" ref="F26:F31" si="4">G26</f>
        <v>2303000</v>
      </c>
      <c r="G26" s="412">
        <v>2303000</v>
      </c>
      <c r="H26" s="450">
        <v>0</v>
      </c>
      <c r="I26" s="452" t="s">
        <v>374</v>
      </c>
      <c r="J26" s="452" t="s">
        <v>323</v>
      </c>
      <c r="K26" s="454" t="s">
        <v>324</v>
      </c>
      <c r="L26" s="450">
        <v>2303000</v>
      </c>
      <c r="M26" s="419">
        <f>G26-L26</f>
        <v>0</v>
      </c>
      <c r="N26" s="441"/>
      <c r="O26" s="415">
        <f t="shared" ref="O26:O31" si="5">G26-N26</f>
        <v>2303000</v>
      </c>
      <c r="P26" s="415">
        <f t="shared" ref="P26:P31" si="6">N26*100/L26</f>
        <v>0</v>
      </c>
      <c r="Q26" s="441"/>
      <c r="R26" s="456" t="s">
        <v>26</v>
      </c>
      <c r="S26" s="408"/>
    </row>
    <row r="27" spans="1:19" ht="64.5" customHeight="1" x14ac:dyDescent="0.2">
      <c r="A27" s="408">
        <v>13</v>
      </c>
      <c r="B27" s="409"/>
      <c r="C27" s="410"/>
      <c r="D27" s="410"/>
      <c r="E27" s="457" t="s">
        <v>385</v>
      </c>
      <c r="F27" s="412">
        <f t="shared" si="4"/>
        <v>2401000</v>
      </c>
      <c r="G27" s="412">
        <v>2401000</v>
      </c>
      <c r="H27" s="419">
        <v>0</v>
      </c>
      <c r="I27" s="452" t="s">
        <v>374</v>
      </c>
      <c r="J27" s="452" t="s">
        <v>330</v>
      </c>
      <c r="K27" s="454" t="s">
        <v>324</v>
      </c>
      <c r="L27" s="419">
        <v>2390000</v>
      </c>
      <c r="M27" s="419">
        <f t="shared" ref="M27:M31" si="7">G27-L27</f>
        <v>11000</v>
      </c>
      <c r="N27" s="415"/>
      <c r="O27" s="415">
        <f t="shared" si="5"/>
        <v>2401000</v>
      </c>
      <c r="P27" s="415">
        <f t="shared" si="6"/>
        <v>0</v>
      </c>
      <c r="Q27" s="415"/>
      <c r="R27" s="455" t="s">
        <v>28</v>
      </c>
      <c r="S27" s="408"/>
    </row>
    <row r="28" spans="1:19" ht="66.75" customHeight="1" x14ac:dyDescent="0.2">
      <c r="A28" s="408">
        <v>14</v>
      </c>
      <c r="B28" s="409"/>
      <c r="C28" s="410"/>
      <c r="D28" s="410"/>
      <c r="E28" s="457" t="s">
        <v>386</v>
      </c>
      <c r="F28" s="412">
        <f t="shared" si="4"/>
        <v>2401000</v>
      </c>
      <c r="G28" s="412">
        <v>2401000</v>
      </c>
      <c r="H28" s="419">
        <v>0</v>
      </c>
      <c r="I28" s="452" t="s">
        <v>374</v>
      </c>
      <c r="J28" s="452" t="s">
        <v>330</v>
      </c>
      <c r="K28" s="452" t="s">
        <v>324</v>
      </c>
      <c r="L28" s="419">
        <v>2390000</v>
      </c>
      <c r="M28" s="419">
        <f t="shared" si="7"/>
        <v>11000</v>
      </c>
      <c r="N28" s="415"/>
      <c r="O28" s="415">
        <f t="shared" si="5"/>
        <v>2401000</v>
      </c>
      <c r="P28" s="415">
        <f t="shared" si="6"/>
        <v>0</v>
      </c>
      <c r="Q28" s="415"/>
      <c r="R28" s="455" t="s">
        <v>28</v>
      </c>
      <c r="S28" s="408"/>
    </row>
    <row r="29" spans="1:19" ht="63.75" customHeight="1" x14ac:dyDescent="0.2">
      <c r="A29" s="408">
        <v>15</v>
      </c>
      <c r="B29" s="409"/>
      <c r="C29" s="410"/>
      <c r="D29" s="410"/>
      <c r="E29" s="453" t="s">
        <v>275</v>
      </c>
      <c r="F29" s="412">
        <f t="shared" si="4"/>
        <v>3724000</v>
      </c>
      <c r="G29" s="412">
        <v>3724000</v>
      </c>
      <c r="H29" s="450">
        <v>0</v>
      </c>
      <c r="I29" s="452" t="s">
        <v>374</v>
      </c>
      <c r="J29" s="452" t="s">
        <v>325</v>
      </c>
      <c r="K29" s="454" t="s">
        <v>324</v>
      </c>
      <c r="L29" s="450">
        <v>2790000</v>
      </c>
      <c r="M29" s="419">
        <f t="shared" si="7"/>
        <v>934000</v>
      </c>
      <c r="N29" s="441"/>
      <c r="O29" s="415">
        <f t="shared" si="5"/>
        <v>3724000</v>
      </c>
      <c r="P29" s="415">
        <f t="shared" si="6"/>
        <v>0</v>
      </c>
      <c r="Q29" s="441"/>
      <c r="R29" s="456" t="s">
        <v>25</v>
      </c>
      <c r="S29" s="408"/>
    </row>
    <row r="30" spans="1:19" ht="63.75" customHeight="1" x14ac:dyDescent="0.2">
      <c r="A30" s="408">
        <v>16</v>
      </c>
      <c r="B30" s="409"/>
      <c r="C30" s="410"/>
      <c r="D30" s="410"/>
      <c r="E30" s="457" t="s">
        <v>387</v>
      </c>
      <c r="F30" s="412">
        <f t="shared" si="4"/>
        <v>2401000</v>
      </c>
      <c r="G30" s="412">
        <v>2401000</v>
      </c>
      <c r="H30" s="419">
        <v>0</v>
      </c>
      <c r="I30" s="452" t="s">
        <v>374</v>
      </c>
      <c r="J30" s="452" t="s">
        <v>330</v>
      </c>
      <c r="K30" s="452" t="s">
        <v>324</v>
      </c>
      <c r="L30" s="419">
        <v>2390000</v>
      </c>
      <c r="M30" s="419">
        <f t="shared" si="7"/>
        <v>11000</v>
      </c>
      <c r="N30" s="415"/>
      <c r="O30" s="415">
        <f t="shared" si="5"/>
        <v>2401000</v>
      </c>
      <c r="P30" s="415">
        <f t="shared" si="6"/>
        <v>0</v>
      </c>
      <c r="Q30" s="415"/>
      <c r="R30" s="455" t="s">
        <v>28</v>
      </c>
      <c r="S30" s="408"/>
    </row>
    <row r="31" spans="1:19" ht="112.5" customHeight="1" x14ac:dyDescent="0.2">
      <c r="A31" s="408">
        <v>17</v>
      </c>
      <c r="B31" s="409"/>
      <c r="C31" s="410"/>
      <c r="D31" s="410"/>
      <c r="E31" s="457" t="s">
        <v>196</v>
      </c>
      <c r="F31" s="412">
        <f t="shared" si="4"/>
        <v>2940000</v>
      </c>
      <c r="G31" s="449">
        <v>2940000</v>
      </c>
      <c r="H31" s="450">
        <v>0</v>
      </c>
      <c r="I31" s="452" t="s">
        <v>374</v>
      </c>
      <c r="J31" s="452" t="s">
        <v>326</v>
      </c>
      <c r="K31" s="454" t="s">
        <v>327</v>
      </c>
      <c r="L31" s="450">
        <v>2835000</v>
      </c>
      <c r="M31" s="419">
        <f t="shared" si="7"/>
        <v>105000</v>
      </c>
      <c r="N31" s="441"/>
      <c r="O31" s="415">
        <f t="shared" si="5"/>
        <v>2940000</v>
      </c>
      <c r="P31" s="415">
        <f t="shared" si="6"/>
        <v>0</v>
      </c>
      <c r="Q31" s="415"/>
      <c r="R31" s="455" t="s">
        <v>27</v>
      </c>
      <c r="S31" s="408"/>
    </row>
    <row r="32" spans="1:19" s="385" customFormat="1" ht="24" customHeight="1" x14ac:dyDescent="0.2">
      <c r="A32" s="408"/>
      <c r="B32" s="445"/>
      <c r="C32" s="446"/>
      <c r="D32" s="826" t="s">
        <v>150</v>
      </c>
      <c r="E32" s="827"/>
      <c r="F32" s="443"/>
      <c r="G32" s="443"/>
      <c r="H32" s="443"/>
      <c r="I32" s="443"/>
      <c r="J32" s="443"/>
      <c r="K32" s="443"/>
      <c r="L32" s="443"/>
      <c r="M32" s="443"/>
      <c r="N32" s="444">
        <f t="shared" ref="N32" si="8">N33+N34+N35+N36</f>
        <v>0</v>
      </c>
      <c r="O32" s="444">
        <f>O33+O34+O35+O36+O37</f>
        <v>8235000</v>
      </c>
      <c r="P32" s="444" t="e">
        <f>N32*100/L32</f>
        <v>#DIV/0!</v>
      </c>
      <c r="Q32" s="444"/>
      <c r="R32" s="407"/>
      <c r="S32" s="400"/>
    </row>
    <row r="33" spans="1:19" ht="50.25" customHeight="1" x14ac:dyDescent="0.2">
      <c r="A33" s="408">
        <v>18</v>
      </c>
      <c r="B33" s="409"/>
      <c r="C33" s="410"/>
      <c r="D33" s="410"/>
      <c r="E33" s="411" t="s">
        <v>197</v>
      </c>
      <c r="F33" s="412">
        <f>G33</f>
        <v>852600</v>
      </c>
      <c r="G33" s="412">
        <v>852600</v>
      </c>
      <c r="H33" s="419">
        <v>0</v>
      </c>
      <c r="I33" s="452" t="s">
        <v>374</v>
      </c>
      <c r="J33" s="452" t="s">
        <v>328</v>
      </c>
      <c r="K33" s="452" t="s">
        <v>329</v>
      </c>
      <c r="L33" s="419">
        <v>850800</v>
      </c>
      <c r="M33" s="419">
        <f>G33-L33</f>
        <v>1800</v>
      </c>
      <c r="N33" s="415"/>
      <c r="O33" s="415">
        <f>G33-N33</f>
        <v>852600</v>
      </c>
      <c r="P33" s="415">
        <f>N33*100/L33</f>
        <v>0</v>
      </c>
      <c r="Q33" s="415"/>
      <c r="R33" s="407" t="s">
        <v>24</v>
      </c>
      <c r="S33" s="408"/>
    </row>
    <row r="34" spans="1:19" ht="44.25" customHeight="1" x14ac:dyDescent="0.2">
      <c r="A34" s="408">
        <v>19</v>
      </c>
      <c r="B34" s="409"/>
      <c r="C34" s="410"/>
      <c r="D34" s="410"/>
      <c r="E34" s="453" t="s">
        <v>198</v>
      </c>
      <c r="F34" s="412">
        <f>G34</f>
        <v>3780400</v>
      </c>
      <c r="G34" s="412">
        <v>3780400</v>
      </c>
      <c r="H34" s="419">
        <v>0</v>
      </c>
      <c r="I34" s="452" t="s">
        <v>374</v>
      </c>
      <c r="J34" s="452" t="s">
        <v>331</v>
      </c>
      <c r="K34" s="452" t="s">
        <v>332</v>
      </c>
      <c r="L34" s="419">
        <v>1885000</v>
      </c>
      <c r="M34" s="419">
        <f>G34-L34</f>
        <v>1895400</v>
      </c>
      <c r="N34" s="415"/>
      <c r="O34" s="415">
        <f t="shared" ref="O34:O37" si="9">G34-N34</f>
        <v>3780400</v>
      </c>
      <c r="P34" s="415">
        <f t="shared" ref="P34:P36" si="10">N34*100/L34</f>
        <v>0</v>
      </c>
      <c r="Q34" s="415"/>
      <c r="R34" s="407" t="s">
        <v>24</v>
      </c>
      <c r="S34" s="408"/>
    </row>
    <row r="35" spans="1:19" ht="60.75" x14ac:dyDescent="0.2">
      <c r="A35" s="408">
        <v>20</v>
      </c>
      <c r="B35" s="420"/>
      <c r="C35" s="421"/>
      <c r="D35" s="421"/>
      <c r="E35" s="458" t="s">
        <v>199</v>
      </c>
      <c r="F35" s="412">
        <f>G35</f>
        <v>1654200</v>
      </c>
      <c r="G35" s="412">
        <v>1654200</v>
      </c>
      <c r="H35" s="450">
        <v>0</v>
      </c>
      <c r="I35" s="452" t="s">
        <v>374</v>
      </c>
      <c r="J35" s="452" t="s">
        <v>353</v>
      </c>
      <c r="K35" s="452" t="s">
        <v>329</v>
      </c>
      <c r="L35" s="450">
        <v>1450000</v>
      </c>
      <c r="M35" s="450">
        <f>G35-L35</f>
        <v>204200</v>
      </c>
      <c r="N35" s="441"/>
      <c r="O35" s="415">
        <f t="shared" si="9"/>
        <v>1654200</v>
      </c>
      <c r="P35" s="415">
        <f t="shared" si="10"/>
        <v>0</v>
      </c>
      <c r="Q35" s="441"/>
      <c r="R35" s="459" t="s">
        <v>28</v>
      </c>
      <c r="S35" s="408"/>
    </row>
    <row r="36" spans="1:19" ht="60.75" x14ac:dyDescent="0.2">
      <c r="A36" s="408">
        <v>21</v>
      </c>
      <c r="B36" s="409"/>
      <c r="C36" s="410"/>
      <c r="D36" s="410"/>
      <c r="E36" s="453" t="s">
        <v>200</v>
      </c>
      <c r="F36" s="412">
        <f>G36</f>
        <v>1211300</v>
      </c>
      <c r="G36" s="412">
        <v>1211300</v>
      </c>
      <c r="H36" s="450">
        <v>0</v>
      </c>
      <c r="I36" s="452" t="s">
        <v>374</v>
      </c>
      <c r="J36" s="452" t="s">
        <v>353</v>
      </c>
      <c r="K36" s="452" t="s">
        <v>329</v>
      </c>
      <c r="L36" s="450">
        <v>1210300</v>
      </c>
      <c r="M36" s="450">
        <f>G36-L36</f>
        <v>1000</v>
      </c>
      <c r="N36" s="441"/>
      <c r="O36" s="415">
        <f t="shared" si="9"/>
        <v>1211300</v>
      </c>
      <c r="P36" s="415">
        <f t="shared" si="10"/>
        <v>0</v>
      </c>
      <c r="Q36" s="415"/>
      <c r="R36" s="407" t="s">
        <v>28</v>
      </c>
      <c r="S36" s="408"/>
    </row>
    <row r="37" spans="1:19" ht="40.5" x14ac:dyDescent="0.2">
      <c r="A37" s="408">
        <v>22</v>
      </c>
      <c r="B37" s="409"/>
      <c r="C37" s="410"/>
      <c r="D37" s="410"/>
      <c r="E37" s="453" t="s">
        <v>201</v>
      </c>
      <c r="F37" s="412">
        <f>G37</f>
        <v>736500</v>
      </c>
      <c r="G37" s="460">
        <v>736500</v>
      </c>
      <c r="H37" s="461">
        <v>0</v>
      </c>
      <c r="I37" s="461"/>
      <c r="J37" s="462"/>
      <c r="K37" s="462"/>
      <c r="L37" s="462"/>
      <c r="M37" s="462"/>
      <c r="N37" s="463"/>
      <c r="O37" s="414">
        <f t="shared" si="9"/>
        <v>736500</v>
      </c>
      <c r="P37" s="415">
        <v>0</v>
      </c>
      <c r="Q37" s="415"/>
      <c r="R37" s="407" t="s">
        <v>27</v>
      </c>
      <c r="S37" s="408"/>
    </row>
    <row r="38" spans="1:19" s="385" customFormat="1" x14ac:dyDescent="0.2">
      <c r="A38" s="408"/>
      <c r="B38" s="445"/>
      <c r="C38" s="826" t="s">
        <v>151</v>
      </c>
      <c r="D38" s="826"/>
      <c r="E38" s="827"/>
      <c r="F38" s="405"/>
      <c r="G38" s="405"/>
      <c r="H38" s="405"/>
      <c r="I38" s="405"/>
      <c r="J38" s="405"/>
      <c r="K38" s="405"/>
      <c r="L38" s="405"/>
      <c r="M38" s="405"/>
      <c r="N38" s="406">
        <f t="shared" ref="N38:O38" si="11">N39</f>
        <v>0</v>
      </c>
      <c r="O38" s="406">
        <f t="shared" si="11"/>
        <v>51430000</v>
      </c>
      <c r="P38" s="406">
        <v>0</v>
      </c>
      <c r="Q38" s="406"/>
      <c r="R38" s="407"/>
      <c r="S38" s="400"/>
    </row>
    <row r="39" spans="1:19" s="385" customFormat="1" x14ac:dyDescent="0.2">
      <c r="A39" s="408"/>
      <c r="B39" s="445"/>
      <c r="C39" s="446"/>
      <c r="D39" s="464" t="s">
        <v>152</v>
      </c>
      <c r="E39" s="465"/>
      <c r="F39" s="443"/>
      <c r="G39" s="443"/>
      <c r="H39" s="443"/>
      <c r="I39" s="443"/>
      <c r="J39" s="443"/>
      <c r="K39" s="443"/>
      <c r="L39" s="443"/>
      <c r="M39" s="443"/>
      <c r="N39" s="444">
        <f t="shared" ref="N39:O39" si="12">N40+N41+N42+N43+N44</f>
        <v>0</v>
      </c>
      <c r="O39" s="444">
        <f t="shared" si="12"/>
        <v>51430000</v>
      </c>
      <c r="P39" s="444">
        <v>0</v>
      </c>
      <c r="Q39" s="444"/>
      <c r="R39" s="407"/>
      <c r="S39" s="400"/>
    </row>
    <row r="40" spans="1:19" ht="81" x14ac:dyDescent="0.2">
      <c r="A40" s="408">
        <v>23</v>
      </c>
      <c r="B40" s="434"/>
      <c r="C40" s="435"/>
      <c r="D40" s="435"/>
      <c r="E40" s="436" t="s">
        <v>202</v>
      </c>
      <c r="F40" s="449">
        <f>G40</f>
        <v>9900000</v>
      </c>
      <c r="G40" s="449">
        <v>9900000</v>
      </c>
      <c r="H40" s="419">
        <v>0</v>
      </c>
      <c r="I40" s="454" t="s">
        <v>377</v>
      </c>
      <c r="J40" s="450"/>
      <c r="K40" s="450"/>
      <c r="L40" s="450"/>
      <c r="M40" s="450"/>
      <c r="N40" s="441"/>
      <c r="O40" s="441">
        <f>G40-N40</f>
        <v>9900000</v>
      </c>
      <c r="P40" s="441">
        <v>0</v>
      </c>
      <c r="Q40" s="441"/>
      <c r="R40" s="466" t="s">
        <v>29</v>
      </c>
      <c r="S40" s="408"/>
    </row>
    <row r="41" spans="1:19" ht="60.75" x14ac:dyDescent="0.2">
      <c r="A41" s="408">
        <v>24</v>
      </c>
      <c r="B41" s="409"/>
      <c r="C41" s="410"/>
      <c r="D41" s="410"/>
      <c r="E41" s="411" t="s">
        <v>203</v>
      </c>
      <c r="F41" s="449">
        <f>G41</f>
        <v>11880000</v>
      </c>
      <c r="G41" s="412">
        <v>11880000</v>
      </c>
      <c r="H41" s="419">
        <v>0</v>
      </c>
      <c r="I41" s="454" t="s">
        <v>335</v>
      </c>
      <c r="J41" s="419"/>
      <c r="K41" s="419"/>
      <c r="L41" s="419"/>
      <c r="M41" s="419"/>
      <c r="N41" s="415"/>
      <c r="O41" s="441">
        <f t="shared" ref="O41:O44" si="13">G41-N41</f>
        <v>11880000</v>
      </c>
      <c r="P41" s="441">
        <v>0</v>
      </c>
      <c r="Q41" s="441"/>
      <c r="R41" s="416" t="s">
        <v>29</v>
      </c>
      <c r="S41" s="408"/>
    </row>
    <row r="42" spans="1:19" ht="60.75" x14ac:dyDescent="0.2">
      <c r="A42" s="408">
        <v>25</v>
      </c>
      <c r="B42" s="409"/>
      <c r="C42" s="410"/>
      <c r="D42" s="410"/>
      <c r="E42" s="411" t="s">
        <v>204</v>
      </c>
      <c r="F42" s="449">
        <f>G42</f>
        <v>9900000</v>
      </c>
      <c r="G42" s="412">
        <v>9900000</v>
      </c>
      <c r="H42" s="419">
        <v>0</v>
      </c>
      <c r="I42" s="454" t="s">
        <v>335</v>
      </c>
      <c r="J42" s="450"/>
      <c r="K42" s="450"/>
      <c r="L42" s="450"/>
      <c r="M42" s="450"/>
      <c r="N42" s="441"/>
      <c r="O42" s="441">
        <f t="shared" si="13"/>
        <v>9900000</v>
      </c>
      <c r="P42" s="441">
        <v>0</v>
      </c>
      <c r="Q42" s="441"/>
      <c r="R42" s="466" t="s">
        <v>29</v>
      </c>
      <c r="S42" s="408"/>
    </row>
    <row r="43" spans="1:19" ht="60.75" x14ac:dyDescent="0.2">
      <c r="A43" s="408">
        <v>26</v>
      </c>
      <c r="B43" s="409"/>
      <c r="C43" s="410"/>
      <c r="D43" s="410"/>
      <c r="E43" s="411" t="s">
        <v>153</v>
      </c>
      <c r="F43" s="449">
        <f>G43</f>
        <v>4900000</v>
      </c>
      <c r="G43" s="412">
        <v>4900000</v>
      </c>
      <c r="H43" s="419">
        <v>0</v>
      </c>
      <c r="I43" s="454" t="s">
        <v>378</v>
      </c>
      <c r="J43" s="419"/>
      <c r="K43" s="452" t="s">
        <v>379</v>
      </c>
      <c r="L43" s="419"/>
      <c r="M43" s="419"/>
      <c r="N43" s="415"/>
      <c r="O43" s="441">
        <f t="shared" si="13"/>
        <v>4900000</v>
      </c>
      <c r="P43" s="441">
        <v>0</v>
      </c>
      <c r="Q43" s="441"/>
      <c r="R43" s="416" t="s">
        <v>29</v>
      </c>
      <c r="S43" s="408"/>
    </row>
    <row r="44" spans="1:19" ht="60.75" x14ac:dyDescent="0.2">
      <c r="A44" s="408">
        <v>27</v>
      </c>
      <c r="B44" s="409"/>
      <c r="C44" s="410"/>
      <c r="D44" s="410"/>
      <c r="E44" s="411" t="s">
        <v>205</v>
      </c>
      <c r="F44" s="449">
        <f>G44</f>
        <v>14850000</v>
      </c>
      <c r="G44" s="412">
        <v>14850000</v>
      </c>
      <c r="H44" s="419">
        <v>0</v>
      </c>
      <c r="I44" s="454" t="s">
        <v>335</v>
      </c>
      <c r="J44" s="419"/>
      <c r="K44" s="419"/>
      <c r="L44" s="419"/>
      <c r="M44" s="419"/>
      <c r="N44" s="415"/>
      <c r="O44" s="441">
        <f t="shared" si="13"/>
        <v>14850000</v>
      </c>
      <c r="P44" s="441">
        <v>0</v>
      </c>
      <c r="Q44" s="441"/>
      <c r="R44" s="416" t="s">
        <v>29</v>
      </c>
      <c r="S44" s="408"/>
    </row>
    <row r="45" spans="1:19" s="385" customFormat="1" ht="30" customHeight="1" x14ac:dyDescent="0.2">
      <c r="A45" s="408"/>
      <c r="B45" s="404"/>
      <c r="C45" s="824" t="s">
        <v>154</v>
      </c>
      <c r="D45" s="824"/>
      <c r="E45" s="825"/>
      <c r="F45" s="405"/>
      <c r="G45" s="405"/>
      <c r="H45" s="405"/>
      <c r="I45" s="405"/>
      <c r="J45" s="405"/>
      <c r="K45" s="405"/>
      <c r="L45" s="405"/>
      <c r="M45" s="405"/>
      <c r="N45" s="406" t="e">
        <f>#REF!+N46+N49</f>
        <v>#REF!</v>
      </c>
      <c r="O45" s="406" t="e">
        <f>#REF!+O46+O49</f>
        <v>#REF!</v>
      </c>
      <c r="P45" s="406" t="e">
        <f>N45*100/F45</f>
        <v>#REF!</v>
      </c>
      <c r="Q45" s="406"/>
      <c r="R45" s="407"/>
      <c r="S45" s="400"/>
    </row>
    <row r="46" spans="1:19" s="385" customFormat="1" ht="44.25" customHeight="1" x14ac:dyDescent="0.2">
      <c r="A46" s="408"/>
      <c r="B46" s="447"/>
      <c r="C46" s="448"/>
      <c r="D46" s="830" t="s">
        <v>156</v>
      </c>
      <c r="E46" s="831"/>
      <c r="F46" s="443"/>
      <c r="G46" s="443"/>
      <c r="H46" s="443"/>
      <c r="I46" s="443"/>
      <c r="J46" s="443"/>
      <c r="K46" s="443"/>
      <c r="L46" s="443"/>
      <c r="M46" s="443"/>
      <c r="N46" s="444" t="e">
        <f>N47+#REF!</f>
        <v>#REF!</v>
      </c>
      <c r="O46" s="444" t="e">
        <f>O47+#REF!</f>
        <v>#REF!</v>
      </c>
      <c r="P46" s="444" t="e">
        <f>N46*100/F46</f>
        <v>#REF!</v>
      </c>
      <c r="Q46" s="444"/>
      <c r="R46" s="407"/>
      <c r="S46" s="400"/>
    </row>
    <row r="47" spans="1:19" s="385" customFormat="1" ht="42" customHeight="1" x14ac:dyDescent="0.2">
      <c r="A47" s="408"/>
      <c r="B47" s="445"/>
      <c r="C47" s="446"/>
      <c r="D47" s="451"/>
      <c r="E47" s="411" t="s">
        <v>158</v>
      </c>
      <c r="F47" s="412"/>
      <c r="G47" s="412"/>
      <c r="H47" s="419"/>
      <c r="I47" s="419"/>
      <c r="J47" s="419"/>
      <c r="K47" s="419"/>
      <c r="L47" s="419"/>
      <c r="M47" s="419"/>
      <c r="N47" s="415" t="e">
        <f>#REF!+N48</f>
        <v>#REF!</v>
      </c>
      <c r="O47" s="415" t="e">
        <f>#REF!+O48</f>
        <v>#REF!</v>
      </c>
      <c r="P47" s="414" t="e">
        <f>N47*100/F47</f>
        <v>#REF!</v>
      </c>
      <c r="Q47" s="414"/>
      <c r="R47" s="467"/>
      <c r="S47" s="400"/>
    </row>
    <row r="48" spans="1:19" s="385" customFormat="1" ht="81" x14ac:dyDescent="0.2">
      <c r="A48" s="408">
        <v>28</v>
      </c>
      <c r="B48" s="434"/>
      <c r="C48" s="435"/>
      <c r="D48" s="435"/>
      <c r="E48" s="468" t="s">
        <v>30</v>
      </c>
      <c r="F48" s="469">
        <f>G48</f>
        <v>3528000</v>
      </c>
      <c r="G48" s="438">
        <v>3528000</v>
      </c>
      <c r="H48" s="439">
        <v>0</v>
      </c>
      <c r="I48" s="440" t="s">
        <v>355</v>
      </c>
      <c r="J48" s="439"/>
      <c r="K48" s="439"/>
      <c r="L48" s="439"/>
      <c r="M48" s="439"/>
      <c r="N48" s="441"/>
      <c r="O48" s="441">
        <f>G48-N48</f>
        <v>3528000</v>
      </c>
      <c r="P48" s="441">
        <v>0</v>
      </c>
      <c r="Q48" s="441"/>
      <c r="R48" s="470" t="s">
        <v>301</v>
      </c>
      <c r="S48" s="400"/>
    </row>
    <row r="49" spans="1:19" s="385" customFormat="1" ht="26.25" customHeight="1" x14ac:dyDescent="0.2">
      <c r="A49" s="408"/>
      <c r="B49" s="445"/>
      <c r="C49" s="446"/>
      <c r="D49" s="826" t="s">
        <v>160</v>
      </c>
      <c r="E49" s="827"/>
      <c r="F49" s="471"/>
      <c r="G49" s="471"/>
      <c r="H49" s="471"/>
      <c r="I49" s="471"/>
      <c r="J49" s="471"/>
      <c r="K49" s="471"/>
      <c r="L49" s="471"/>
      <c r="M49" s="471"/>
      <c r="N49" s="472">
        <f t="shared" ref="N49:O49" si="14">N50</f>
        <v>0</v>
      </c>
      <c r="O49" s="472">
        <f t="shared" si="14"/>
        <v>2178000</v>
      </c>
      <c r="P49" s="472">
        <v>0</v>
      </c>
      <c r="Q49" s="472"/>
      <c r="R49" s="407"/>
      <c r="S49" s="400"/>
    </row>
    <row r="50" spans="1:19" s="385" customFormat="1" ht="60.75" x14ac:dyDescent="0.2">
      <c r="A50" s="408">
        <v>29</v>
      </c>
      <c r="B50" s="445"/>
      <c r="C50" s="446"/>
      <c r="D50" s="446"/>
      <c r="E50" s="411" t="s">
        <v>276</v>
      </c>
      <c r="F50" s="412">
        <f>G50</f>
        <v>2178000</v>
      </c>
      <c r="G50" s="412">
        <v>2178000</v>
      </c>
      <c r="H50" s="419">
        <v>0</v>
      </c>
      <c r="I50" s="454" t="s">
        <v>380</v>
      </c>
      <c r="J50" s="419"/>
      <c r="K50" s="419"/>
      <c r="L50" s="419"/>
      <c r="M50" s="419"/>
      <c r="N50" s="415"/>
      <c r="O50" s="415">
        <f>G50-N50</f>
        <v>2178000</v>
      </c>
      <c r="P50" s="415">
        <v>0</v>
      </c>
      <c r="Q50" s="415"/>
      <c r="R50" s="416" t="s">
        <v>31</v>
      </c>
      <c r="S50" s="400"/>
    </row>
    <row r="51" spans="1:19" s="385" customFormat="1" ht="24.75" customHeight="1" x14ac:dyDescent="0.2">
      <c r="A51" s="408"/>
      <c r="B51" s="829" t="s">
        <v>32</v>
      </c>
      <c r="C51" s="829"/>
      <c r="D51" s="829"/>
      <c r="E51" s="829"/>
      <c r="F51" s="405"/>
      <c r="G51" s="405"/>
      <c r="H51" s="405"/>
      <c r="I51" s="405"/>
      <c r="J51" s="405"/>
      <c r="K51" s="405"/>
      <c r="L51" s="405"/>
      <c r="M51" s="405"/>
      <c r="N51" s="406" t="e">
        <f>#REF!+#REF!+N52+N56+#REF!</f>
        <v>#REF!</v>
      </c>
      <c r="O51" s="406" t="e">
        <f>#REF!+#REF!+O52+O56+#REF!</f>
        <v>#REF!</v>
      </c>
      <c r="P51" s="406" t="e">
        <f>N51*100/F51</f>
        <v>#REF!</v>
      </c>
      <c r="Q51" s="406"/>
      <c r="R51" s="459"/>
      <c r="S51" s="400"/>
    </row>
    <row r="52" spans="1:19" s="385" customFormat="1" ht="45.75" customHeight="1" x14ac:dyDescent="0.2">
      <c r="A52" s="408"/>
      <c r="B52" s="404"/>
      <c r="C52" s="824" t="s">
        <v>43</v>
      </c>
      <c r="D52" s="824"/>
      <c r="E52" s="825"/>
      <c r="F52" s="405"/>
      <c r="G52" s="405"/>
      <c r="H52" s="405"/>
      <c r="I52" s="405"/>
      <c r="J52" s="405"/>
      <c r="K52" s="405"/>
      <c r="L52" s="405"/>
      <c r="M52" s="405"/>
      <c r="N52" s="406" t="e">
        <f t="shared" ref="N52:O52" si="15">N53</f>
        <v>#REF!</v>
      </c>
      <c r="O52" s="406" t="e">
        <f t="shared" si="15"/>
        <v>#REF!</v>
      </c>
      <c r="P52" s="406" t="e">
        <f>N52*100/F52</f>
        <v>#REF!</v>
      </c>
      <c r="Q52" s="406"/>
      <c r="R52" s="459"/>
      <c r="S52" s="400"/>
    </row>
    <row r="53" spans="1:19" s="385" customFormat="1" ht="45.75" customHeight="1" x14ac:dyDescent="0.2">
      <c r="A53" s="408"/>
      <c r="B53" s="445"/>
      <c r="C53" s="446"/>
      <c r="D53" s="826" t="s">
        <v>44</v>
      </c>
      <c r="E53" s="827"/>
      <c r="F53" s="443"/>
      <c r="G53" s="443"/>
      <c r="H53" s="443"/>
      <c r="I53" s="443"/>
      <c r="J53" s="443"/>
      <c r="K53" s="443"/>
      <c r="L53" s="443"/>
      <c r="M53" s="443"/>
      <c r="N53" s="444" t="e">
        <f>N54+#REF!</f>
        <v>#REF!</v>
      </c>
      <c r="O53" s="444" t="e">
        <f>O54+#REF!</f>
        <v>#REF!</v>
      </c>
      <c r="P53" s="444" t="e">
        <f>N53*100/F53</f>
        <v>#REF!</v>
      </c>
      <c r="Q53" s="444"/>
      <c r="R53" s="407"/>
      <c r="S53" s="400"/>
    </row>
    <row r="54" spans="1:19" s="385" customFormat="1" ht="43.5" customHeight="1" x14ac:dyDescent="0.2">
      <c r="A54" s="408"/>
      <c r="B54" s="445"/>
      <c r="C54" s="446"/>
      <c r="D54" s="446"/>
      <c r="E54" s="411" t="s">
        <v>161</v>
      </c>
      <c r="F54" s="412"/>
      <c r="G54" s="412"/>
      <c r="H54" s="419"/>
      <c r="I54" s="419"/>
      <c r="J54" s="419"/>
      <c r="K54" s="419"/>
      <c r="L54" s="419"/>
      <c r="M54" s="419"/>
      <c r="N54" s="415" t="e">
        <f>#REF!+N55</f>
        <v>#REF!</v>
      </c>
      <c r="O54" s="415" t="e">
        <f>#REF!+O55</f>
        <v>#REF!</v>
      </c>
      <c r="P54" s="415" t="e">
        <f>N54*100/F54</f>
        <v>#REF!</v>
      </c>
      <c r="Q54" s="415"/>
      <c r="R54" s="416"/>
      <c r="S54" s="400"/>
    </row>
    <row r="55" spans="1:19" s="385" customFormat="1" ht="60.75" x14ac:dyDescent="0.2">
      <c r="A55" s="408">
        <v>30</v>
      </c>
      <c r="B55" s="404"/>
      <c r="C55" s="473"/>
      <c r="D55" s="473"/>
      <c r="E55" s="436" t="s">
        <v>45</v>
      </c>
      <c r="F55" s="449">
        <f>G55</f>
        <v>495000</v>
      </c>
      <c r="G55" s="449">
        <v>495000</v>
      </c>
      <c r="H55" s="450">
        <v>0</v>
      </c>
      <c r="I55" s="413" t="s">
        <v>374</v>
      </c>
      <c r="J55" s="452" t="s">
        <v>333</v>
      </c>
      <c r="K55" s="452" t="s">
        <v>334</v>
      </c>
      <c r="L55" s="419">
        <v>495000</v>
      </c>
      <c r="M55" s="450"/>
      <c r="N55" s="441"/>
      <c r="O55" s="441">
        <f>G55-N55</f>
        <v>495000</v>
      </c>
      <c r="P55" s="441">
        <f>N55*100/L55</f>
        <v>0</v>
      </c>
      <c r="Q55" s="441"/>
      <c r="R55" s="416" t="s">
        <v>39</v>
      </c>
      <c r="S55" s="400"/>
    </row>
    <row r="56" spans="1:19" s="385" customFormat="1" ht="23.25" customHeight="1" x14ac:dyDescent="0.2">
      <c r="A56" s="408"/>
      <c r="B56" s="474"/>
      <c r="C56" s="824" t="s">
        <v>46</v>
      </c>
      <c r="D56" s="824"/>
      <c r="E56" s="825"/>
      <c r="F56" s="405"/>
      <c r="G56" s="405"/>
      <c r="H56" s="405"/>
      <c r="I56" s="405"/>
      <c r="J56" s="405"/>
      <c r="K56" s="405"/>
      <c r="L56" s="405"/>
      <c r="M56" s="405"/>
      <c r="N56" s="406" t="e">
        <f t="shared" ref="N56:O56" si="16">N57</f>
        <v>#REF!</v>
      </c>
      <c r="O56" s="406" t="e">
        <f t="shared" si="16"/>
        <v>#REF!</v>
      </c>
      <c r="P56" s="406" t="e">
        <f>N56*100/F56</f>
        <v>#REF!</v>
      </c>
      <c r="Q56" s="406"/>
      <c r="R56" s="407"/>
      <c r="S56" s="400"/>
    </row>
    <row r="57" spans="1:19" s="385" customFormat="1" ht="25.5" customHeight="1" x14ac:dyDescent="0.2">
      <c r="A57" s="408"/>
      <c r="B57" s="445"/>
      <c r="C57" s="446"/>
      <c r="D57" s="826" t="s">
        <v>47</v>
      </c>
      <c r="E57" s="827"/>
      <c r="F57" s="443"/>
      <c r="G57" s="443"/>
      <c r="H57" s="443"/>
      <c r="I57" s="443"/>
      <c r="J57" s="443"/>
      <c r="K57" s="443"/>
      <c r="L57" s="443"/>
      <c r="M57" s="443"/>
      <c r="N57" s="444" t="e">
        <f>N58+#REF!+#REF!</f>
        <v>#REF!</v>
      </c>
      <c r="O57" s="444" t="e">
        <f>O58+#REF!+#REF!</f>
        <v>#REF!</v>
      </c>
      <c r="P57" s="444" t="e">
        <f>N57*100/F57</f>
        <v>#REF!</v>
      </c>
      <c r="Q57" s="444"/>
      <c r="R57" s="407"/>
      <c r="S57" s="400"/>
    </row>
    <row r="58" spans="1:19" s="385" customFormat="1" ht="42" customHeight="1" x14ac:dyDescent="0.2">
      <c r="A58" s="408"/>
      <c r="B58" s="447"/>
      <c r="C58" s="448"/>
      <c r="D58" s="448"/>
      <c r="E58" s="475" t="s">
        <v>48</v>
      </c>
      <c r="F58" s="476"/>
      <c r="G58" s="476"/>
      <c r="H58" s="476"/>
      <c r="I58" s="412"/>
      <c r="J58" s="476"/>
      <c r="K58" s="476"/>
      <c r="L58" s="476"/>
      <c r="M58" s="476"/>
      <c r="N58" s="477" t="e">
        <f>#REF!+N59</f>
        <v>#REF!</v>
      </c>
      <c r="O58" s="477" t="e">
        <f>#REF!+O59</f>
        <v>#REF!</v>
      </c>
      <c r="P58" s="478" t="e">
        <f>N58*100/F58</f>
        <v>#REF!</v>
      </c>
      <c r="Q58" s="478"/>
      <c r="R58" s="470"/>
      <c r="S58" s="400"/>
    </row>
    <row r="59" spans="1:19" s="385" customFormat="1" ht="70.5" customHeight="1" x14ac:dyDescent="0.2">
      <c r="A59" s="408">
        <v>31</v>
      </c>
      <c r="B59" s="447"/>
      <c r="C59" s="448"/>
      <c r="D59" s="448"/>
      <c r="E59" s="475" t="s">
        <v>251</v>
      </c>
      <c r="F59" s="476">
        <v>25000</v>
      </c>
      <c r="G59" s="479">
        <v>25000</v>
      </c>
      <c r="H59" s="480"/>
      <c r="I59" s="418" t="s">
        <v>374</v>
      </c>
      <c r="J59" s="452" t="s">
        <v>337</v>
      </c>
      <c r="K59" s="481" t="s">
        <v>336</v>
      </c>
      <c r="L59" s="480">
        <v>25000</v>
      </c>
      <c r="M59" s="480"/>
      <c r="N59" s="478">
        <v>25000</v>
      </c>
      <c r="O59" s="478">
        <f>G59-N59</f>
        <v>0</v>
      </c>
      <c r="P59" s="478">
        <f>N59*100/L59</f>
        <v>100</v>
      </c>
      <c r="Q59" s="478"/>
      <c r="R59" s="470" t="s">
        <v>14</v>
      </c>
      <c r="S59" s="400"/>
    </row>
    <row r="60" spans="1:19" s="385" customFormat="1" ht="24" customHeight="1" x14ac:dyDescent="0.2">
      <c r="A60" s="408"/>
      <c r="B60" s="828" t="s">
        <v>54</v>
      </c>
      <c r="C60" s="828"/>
      <c r="D60" s="828"/>
      <c r="E60" s="828"/>
      <c r="F60" s="443"/>
      <c r="G60" s="443"/>
      <c r="H60" s="443"/>
      <c r="I60" s="443"/>
      <c r="J60" s="443"/>
      <c r="K60" s="443"/>
      <c r="L60" s="443"/>
      <c r="M60" s="443"/>
      <c r="N60" s="444" t="e">
        <f>N61+#REF!+#REF!+#REF!</f>
        <v>#REF!</v>
      </c>
      <c r="O60" s="444" t="e">
        <f>O61+#REF!+#REF!+#REF!</f>
        <v>#REF!</v>
      </c>
      <c r="P60" s="444" t="e">
        <f>N60*100/F60</f>
        <v>#REF!</v>
      </c>
      <c r="Q60" s="444"/>
      <c r="R60" s="407"/>
      <c r="S60" s="400"/>
    </row>
    <row r="61" spans="1:19" s="385" customFormat="1" ht="47.25" customHeight="1" x14ac:dyDescent="0.2">
      <c r="A61" s="408"/>
      <c r="B61" s="404"/>
      <c r="C61" s="824" t="s">
        <v>55</v>
      </c>
      <c r="D61" s="824"/>
      <c r="E61" s="825"/>
      <c r="F61" s="405"/>
      <c r="G61" s="405"/>
      <c r="H61" s="405"/>
      <c r="I61" s="405"/>
      <c r="J61" s="405"/>
      <c r="K61" s="405"/>
      <c r="L61" s="405"/>
      <c r="M61" s="405"/>
      <c r="N61" s="406" t="e">
        <f t="shared" ref="N61:O61" si="17">N62+N64</f>
        <v>#REF!</v>
      </c>
      <c r="O61" s="406" t="e">
        <f t="shared" si="17"/>
        <v>#REF!</v>
      </c>
      <c r="P61" s="406">
        <v>0</v>
      </c>
      <c r="Q61" s="406"/>
      <c r="R61" s="407"/>
      <c r="S61" s="400"/>
    </row>
    <row r="62" spans="1:19" s="385" customFormat="1" ht="24" customHeight="1" x14ac:dyDescent="0.2">
      <c r="A62" s="408"/>
      <c r="B62" s="445"/>
      <c r="C62" s="446"/>
      <c r="D62" s="826" t="s">
        <v>56</v>
      </c>
      <c r="E62" s="827"/>
      <c r="F62" s="401"/>
      <c r="G62" s="401"/>
      <c r="H62" s="401"/>
      <c r="I62" s="401"/>
      <c r="J62" s="401"/>
      <c r="K62" s="401"/>
      <c r="L62" s="401"/>
      <c r="M62" s="401"/>
      <c r="N62" s="402">
        <f t="shared" ref="N62:O62" si="18">N63</f>
        <v>0</v>
      </c>
      <c r="O62" s="402">
        <f t="shared" si="18"/>
        <v>1980000</v>
      </c>
      <c r="P62" s="402">
        <v>0</v>
      </c>
      <c r="Q62" s="402"/>
      <c r="R62" s="407"/>
      <c r="S62" s="400"/>
    </row>
    <row r="63" spans="1:19" s="385" customFormat="1" ht="60.75" x14ac:dyDescent="0.2">
      <c r="A63" s="408">
        <v>32</v>
      </c>
      <c r="B63" s="445"/>
      <c r="C63" s="446"/>
      <c r="D63" s="451"/>
      <c r="E63" s="411" t="s">
        <v>287</v>
      </c>
      <c r="F63" s="412">
        <f>G63</f>
        <v>1980000</v>
      </c>
      <c r="G63" s="412">
        <v>1980000</v>
      </c>
      <c r="H63" s="450">
        <v>0</v>
      </c>
      <c r="I63" s="413" t="s">
        <v>381</v>
      </c>
      <c r="J63" s="450"/>
      <c r="K63" s="450"/>
      <c r="L63" s="450"/>
      <c r="M63" s="450"/>
      <c r="N63" s="441"/>
      <c r="O63" s="441">
        <f>G63-N63</f>
        <v>1980000</v>
      </c>
      <c r="P63" s="441">
        <v>0</v>
      </c>
      <c r="Q63" s="441"/>
      <c r="R63" s="433" t="s">
        <v>288</v>
      </c>
      <c r="S63" s="400"/>
    </row>
    <row r="64" spans="1:19" s="385" customFormat="1" ht="24.75" customHeight="1" x14ac:dyDescent="0.2">
      <c r="A64" s="408"/>
      <c r="B64" s="445"/>
      <c r="C64" s="446"/>
      <c r="D64" s="826" t="s">
        <v>58</v>
      </c>
      <c r="E64" s="827"/>
      <c r="F64" s="443"/>
      <c r="G64" s="443"/>
      <c r="H64" s="443"/>
      <c r="I64" s="443"/>
      <c r="J64" s="443"/>
      <c r="K64" s="443"/>
      <c r="L64" s="443"/>
      <c r="M64" s="443"/>
      <c r="N64" s="444" t="e">
        <f>#REF!</f>
        <v>#REF!</v>
      </c>
      <c r="O64" s="444" t="e">
        <f>#REF!</f>
        <v>#REF!</v>
      </c>
      <c r="P64" s="444">
        <v>0</v>
      </c>
      <c r="Q64" s="444"/>
      <c r="R64" s="407"/>
      <c r="S64" s="400"/>
    </row>
    <row r="65" spans="1:19" s="385" customFormat="1" ht="40.5" x14ac:dyDescent="0.2">
      <c r="A65" s="408">
        <v>33</v>
      </c>
      <c r="B65" s="445"/>
      <c r="C65" s="446"/>
      <c r="D65" s="482"/>
      <c r="E65" s="483" t="s">
        <v>289</v>
      </c>
      <c r="F65" s="412">
        <f>G65</f>
        <v>1980000</v>
      </c>
      <c r="G65" s="417">
        <v>1980000</v>
      </c>
      <c r="H65" s="412">
        <v>0</v>
      </c>
      <c r="I65" s="484" t="s">
        <v>382</v>
      </c>
      <c r="J65" s="485"/>
      <c r="K65" s="485"/>
      <c r="L65" s="485"/>
      <c r="M65" s="485"/>
      <c r="N65" s="486"/>
      <c r="O65" s="486">
        <f>G65-N65</f>
        <v>1980000</v>
      </c>
      <c r="P65" s="414">
        <v>0</v>
      </c>
      <c r="Q65" s="486"/>
      <c r="R65" s="487" t="s">
        <v>179</v>
      </c>
      <c r="S65" s="400"/>
    </row>
    <row r="66" spans="1:19" s="385" customFormat="1" ht="60.75" x14ac:dyDescent="0.2">
      <c r="A66" s="408">
        <v>34</v>
      </c>
      <c r="B66" s="445"/>
      <c r="C66" s="446"/>
      <c r="D66" s="482"/>
      <c r="E66" s="483" t="s">
        <v>290</v>
      </c>
      <c r="F66" s="412">
        <f>G66</f>
        <v>792000</v>
      </c>
      <c r="G66" s="417">
        <v>792000</v>
      </c>
      <c r="H66" s="412">
        <v>0</v>
      </c>
      <c r="I66" s="484" t="s">
        <v>383</v>
      </c>
      <c r="J66" s="485"/>
      <c r="K66" s="485"/>
      <c r="L66" s="485"/>
      <c r="M66" s="485"/>
      <c r="N66" s="486"/>
      <c r="O66" s="486">
        <f t="shared" ref="O66:O67" si="19">G66-N66</f>
        <v>792000</v>
      </c>
      <c r="P66" s="414">
        <v>0</v>
      </c>
      <c r="Q66" s="486"/>
      <c r="R66" s="487" t="s">
        <v>24</v>
      </c>
      <c r="S66" s="400"/>
    </row>
    <row r="67" spans="1:19" s="385" customFormat="1" ht="40.5" x14ac:dyDescent="0.2">
      <c r="A67" s="408">
        <v>35</v>
      </c>
      <c r="B67" s="434"/>
      <c r="C67" s="435"/>
      <c r="D67" s="435"/>
      <c r="E67" s="488" t="s">
        <v>59</v>
      </c>
      <c r="F67" s="412">
        <f>G67</f>
        <v>990000</v>
      </c>
      <c r="G67" s="489">
        <v>990000</v>
      </c>
      <c r="H67" s="449">
        <v>0</v>
      </c>
      <c r="I67" s="484" t="s">
        <v>383</v>
      </c>
      <c r="J67" s="490"/>
      <c r="K67" s="490"/>
      <c r="L67" s="490"/>
      <c r="M67" s="490"/>
      <c r="N67" s="491"/>
      <c r="O67" s="492">
        <f t="shared" si="19"/>
        <v>990000</v>
      </c>
      <c r="P67" s="493">
        <v>0</v>
      </c>
      <c r="Q67" s="414"/>
      <c r="R67" s="494" t="s">
        <v>291</v>
      </c>
      <c r="S67" s="400"/>
    </row>
    <row r="68" spans="1:19" s="385" customFormat="1" ht="27.75" customHeight="1" x14ac:dyDescent="0.2">
      <c r="A68" s="408"/>
      <c r="B68" s="836" t="s">
        <v>362</v>
      </c>
      <c r="C68" s="826"/>
      <c r="D68" s="826"/>
      <c r="E68" s="827"/>
      <c r="F68" s="405"/>
      <c r="G68" s="405"/>
      <c r="H68" s="495"/>
      <c r="I68" s="495"/>
      <c r="J68" s="495"/>
      <c r="K68" s="495"/>
      <c r="L68" s="495"/>
      <c r="M68" s="495"/>
      <c r="N68" s="496">
        <f>N70+N73</f>
        <v>0</v>
      </c>
      <c r="O68" s="496">
        <f>O70+O73</f>
        <v>954700</v>
      </c>
      <c r="P68" s="496"/>
      <c r="Q68" s="496"/>
      <c r="R68" s="459"/>
      <c r="S68" s="400"/>
    </row>
    <row r="69" spans="1:19" s="385" customFormat="1" ht="27.75" customHeight="1" x14ac:dyDescent="0.2">
      <c r="A69" s="408"/>
      <c r="B69" s="497"/>
      <c r="C69" s="826" t="s">
        <v>363</v>
      </c>
      <c r="D69" s="826"/>
      <c r="E69" s="827"/>
      <c r="F69" s="405"/>
      <c r="G69" s="405"/>
      <c r="H69" s="495"/>
      <c r="I69" s="495"/>
      <c r="J69" s="495"/>
      <c r="K69" s="495"/>
      <c r="L69" s="495"/>
      <c r="M69" s="495"/>
      <c r="N69" s="496"/>
      <c r="O69" s="496"/>
      <c r="P69" s="496"/>
      <c r="Q69" s="496"/>
      <c r="R69" s="459"/>
      <c r="S69" s="400"/>
    </row>
    <row r="70" spans="1:19" ht="64.5" customHeight="1" x14ac:dyDescent="0.2">
      <c r="A70" s="408">
        <v>36</v>
      </c>
      <c r="B70" s="498"/>
      <c r="C70" s="832" t="s">
        <v>364</v>
      </c>
      <c r="D70" s="832"/>
      <c r="E70" s="833"/>
      <c r="F70" s="499">
        <f>G70</f>
        <v>468700</v>
      </c>
      <c r="G70" s="499">
        <v>468700</v>
      </c>
      <c r="H70" s="500"/>
      <c r="I70" s="500"/>
      <c r="J70" s="500"/>
      <c r="K70" s="500"/>
      <c r="L70" s="500"/>
      <c r="M70" s="500"/>
      <c r="N70" s="501"/>
      <c r="O70" s="501">
        <f>G70-N70</f>
        <v>468700</v>
      </c>
      <c r="P70" s="501"/>
      <c r="Q70" s="501"/>
      <c r="R70" s="466" t="s">
        <v>25</v>
      </c>
      <c r="S70" s="408"/>
    </row>
    <row r="71" spans="1:19" s="385" customFormat="1" ht="48" customHeight="1" x14ac:dyDescent="0.2">
      <c r="A71" s="408"/>
      <c r="B71" s="497"/>
      <c r="C71" s="826" t="s">
        <v>366</v>
      </c>
      <c r="D71" s="826"/>
      <c r="E71" s="827"/>
      <c r="F71" s="405"/>
      <c r="G71" s="405"/>
      <c r="H71" s="495"/>
      <c r="I71" s="495"/>
      <c r="J71" s="495"/>
      <c r="K71" s="495"/>
      <c r="L71" s="495"/>
      <c r="M71" s="495"/>
      <c r="N71" s="496"/>
      <c r="O71" s="496"/>
      <c r="P71" s="496"/>
      <c r="Q71" s="496"/>
      <c r="R71" s="459"/>
      <c r="S71" s="400"/>
    </row>
    <row r="72" spans="1:19" s="385" customFormat="1" ht="72" customHeight="1" x14ac:dyDescent="0.2">
      <c r="A72" s="408"/>
      <c r="B72" s="497"/>
      <c r="C72" s="832" t="s">
        <v>365</v>
      </c>
      <c r="D72" s="832"/>
      <c r="E72" s="833"/>
      <c r="F72" s="405"/>
      <c r="G72" s="405"/>
      <c r="H72" s="495"/>
      <c r="I72" s="495"/>
      <c r="J72" s="495"/>
      <c r="K72" s="495"/>
      <c r="L72" s="495"/>
      <c r="M72" s="495"/>
      <c r="N72" s="496"/>
      <c r="O72" s="496"/>
      <c r="P72" s="496"/>
      <c r="Q72" s="496"/>
      <c r="R72" s="459"/>
      <c r="S72" s="400"/>
    </row>
    <row r="73" spans="1:19" ht="60.75" x14ac:dyDescent="0.2">
      <c r="A73" s="408">
        <v>37</v>
      </c>
      <c r="B73" s="498"/>
      <c r="C73" s="483"/>
      <c r="D73" s="483"/>
      <c r="E73" s="411" t="s">
        <v>367</v>
      </c>
      <c r="F73" s="499">
        <f>G73</f>
        <v>486000</v>
      </c>
      <c r="G73" s="499">
        <v>486000</v>
      </c>
      <c r="H73" s="500"/>
      <c r="I73" s="500"/>
      <c r="J73" s="500"/>
      <c r="K73" s="500"/>
      <c r="L73" s="500"/>
      <c r="M73" s="500"/>
      <c r="N73" s="501"/>
      <c r="O73" s="501">
        <f>G73-N73</f>
        <v>486000</v>
      </c>
      <c r="P73" s="501"/>
      <c r="Q73" s="502"/>
      <c r="R73" s="466" t="s">
        <v>368</v>
      </c>
      <c r="S73" s="408"/>
    </row>
    <row r="74" spans="1:19" s="385" customFormat="1" x14ac:dyDescent="0.2">
      <c r="A74" s="408"/>
      <c r="B74" s="834" t="s">
        <v>83</v>
      </c>
      <c r="C74" s="834"/>
      <c r="D74" s="834"/>
      <c r="E74" s="834"/>
      <c r="F74" s="443">
        <f>G74</f>
        <v>108006000</v>
      </c>
      <c r="G74" s="443">
        <f>SUM(G4:G73)</f>
        <v>108006000</v>
      </c>
      <c r="H74" s="443"/>
      <c r="I74" s="443"/>
      <c r="J74" s="443"/>
      <c r="K74" s="443"/>
      <c r="L74" s="443">
        <f>SUM(L4:L73)</f>
        <v>32185100</v>
      </c>
      <c r="M74" s="443">
        <f>SUM(M4:M73)</f>
        <v>3991600</v>
      </c>
      <c r="N74" s="444" t="e">
        <f>#REF!+#REF!+#REF!+#REF!+N61+#REF!+N56+N52+#REF!+#REF!+N45+N38+N19+#REF!+N5+#REF!+#REF!</f>
        <v>#REF!</v>
      </c>
      <c r="O74" s="444" t="e">
        <f>#REF!+#REF!+#REF!+#REF!+O61+#REF!+O56+O52+#REF!+#REF!+O45+O38+O19+#REF!+O5+#REF!+#REF!</f>
        <v>#REF!</v>
      </c>
      <c r="P74" s="503" t="e">
        <f>N74*100/F74</f>
        <v>#REF!</v>
      </c>
      <c r="Q74" s="503" t="e">
        <f>#REF!</f>
        <v>#REF!</v>
      </c>
      <c r="R74" s="407"/>
      <c r="S74" s="400"/>
    </row>
  </sheetData>
  <mergeCells count="28">
    <mergeCell ref="C71:E71"/>
    <mergeCell ref="C72:E72"/>
    <mergeCell ref="B74:E74"/>
    <mergeCell ref="A2:R2"/>
    <mergeCell ref="B68:E68"/>
    <mergeCell ref="C69:E69"/>
    <mergeCell ref="C70:E70"/>
    <mergeCell ref="B60:E60"/>
    <mergeCell ref="C61:E61"/>
    <mergeCell ref="D62:E62"/>
    <mergeCell ref="D64:E64"/>
    <mergeCell ref="C52:E52"/>
    <mergeCell ref="D53:E53"/>
    <mergeCell ref="C56:E56"/>
    <mergeCell ref="D57:E57"/>
    <mergeCell ref="D49:E49"/>
    <mergeCell ref="B51:E51"/>
    <mergeCell ref="D32:E32"/>
    <mergeCell ref="C38:E38"/>
    <mergeCell ref="C45:E45"/>
    <mergeCell ref="D46:E46"/>
    <mergeCell ref="B1:R1"/>
    <mergeCell ref="B3:E3"/>
    <mergeCell ref="C19:E19"/>
    <mergeCell ref="D20:E20"/>
    <mergeCell ref="D24:E24"/>
    <mergeCell ref="C5:E5"/>
    <mergeCell ref="B4:E4"/>
  </mergeCells>
  <pageMargins left="0.19685039370078741" right="0.19685039370078741" top="0.39" bottom="0.19685039370078741" header="0.19685039370078741" footer="0.19685039370078741"/>
  <pageSetup paperSize="9" scale="85" orientation="landscape" verticalDpi="0" r:id="rId1"/>
  <headerFooter differentFirst="1">
    <oddHeader>&amp;C&amp;"TH SarabunIT๙,ธรรมดา"&amp;16&amp;P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O17"/>
  <sheetViews>
    <sheetView zoomScale="90" zoomScaleNormal="90" workbookViewId="0">
      <selection activeCell="D5" sqref="D5"/>
    </sheetView>
  </sheetViews>
  <sheetFormatPr defaultRowHeight="21" x14ac:dyDescent="0.35"/>
  <cols>
    <col min="1" max="1" width="3.5" style="592" customWidth="1"/>
    <col min="2" max="2" width="47" style="592" customWidth="1"/>
    <col min="3" max="3" width="11" style="592" customWidth="1"/>
    <col min="4" max="4" width="9.75" style="592" customWidth="1"/>
    <col min="5" max="5" width="10.75" style="592" customWidth="1"/>
    <col min="6" max="6" width="11.125" style="592" customWidth="1"/>
    <col min="7" max="7" width="10.5" style="592" customWidth="1"/>
    <col min="8" max="8" width="10.625" style="592" customWidth="1"/>
    <col min="9" max="9" width="9.75" style="592" hidden="1" customWidth="1"/>
    <col min="10" max="10" width="7.5" style="592" hidden="1" customWidth="1"/>
    <col min="11" max="11" width="7.25" style="631" hidden="1" customWidth="1"/>
    <col min="12" max="12" width="11.875" style="631" customWidth="1"/>
    <col min="13" max="13" width="10.625" style="631" customWidth="1"/>
    <col min="14" max="14" width="7.25" style="631" customWidth="1"/>
    <col min="15" max="15" width="20" style="592" customWidth="1"/>
    <col min="16" max="16384" width="9" style="592"/>
  </cols>
  <sheetData>
    <row r="1" spans="1:15" x14ac:dyDescent="0.35">
      <c r="A1" s="839" t="s">
        <v>402</v>
      </c>
      <c r="B1" s="839"/>
      <c r="C1" s="839"/>
      <c r="D1" s="839"/>
      <c r="E1" s="839"/>
      <c r="F1" s="839"/>
      <c r="G1" s="839"/>
      <c r="H1" s="839"/>
      <c r="I1" s="839"/>
      <c r="J1" s="839"/>
      <c r="K1" s="839"/>
      <c r="L1" s="839"/>
      <c r="M1" s="839"/>
      <c r="N1" s="839"/>
      <c r="O1" s="839"/>
    </row>
    <row r="2" spans="1:15" x14ac:dyDescent="0.35">
      <c r="A2" s="840" t="s">
        <v>403</v>
      </c>
      <c r="B2" s="840"/>
      <c r="C2" s="840"/>
      <c r="D2" s="840"/>
      <c r="E2" s="840"/>
      <c r="F2" s="840"/>
      <c r="G2" s="840"/>
      <c r="H2" s="840"/>
      <c r="I2" s="840"/>
      <c r="J2" s="840"/>
      <c r="K2" s="840"/>
      <c r="L2" s="840"/>
      <c r="M2" s="840"/>
      <c r="N2" s="840"/>
      <c r="O2" s="840"/>
    </row>
    <row r="3" spans="1:15" x14ac:dyDescent="0.35">
      <c r="A3" s="839" t="s">
        <v>404</v>
      </c>
      <c r="B3" s="839"/>
      <c r="C3" s="839"/>
      <c r="D3" s="839"/>
      <c r="E3" s="839"/>
      <c r="F3" s="839"/>
      <c r="G3" s="839"/>
      <c r="H3" s="839"/>
      <c r="I3" s="839"/>
      <c r="J3" s="839"/>
      <c r="K3" s="839"/>
      <c r="L3" s="839"/>
      <c r="M3" s="839"/>
      <c r="N3" s="839"/>
      <c r="O3" s="839"/>
    </row>
    <row r="4" spans="1:15" x14ac:dyDescent="0.35">
      <c r="K4" s="845" t="s">
        <v>502</v>
      </c>
      <c r="L4" s="845"/>
      <c r="M4" s="845"/>
      <c r="N4" s="845"/>
      <c r="O4" s="845"/>
    </row>
    <row r="5" spans="1:15" ht="63" x14ac:dyDescent="0.35">
      <c r="A5" s="593" t="s">
        <v>89</v>
      </c>
      <c r="B5" s="593" t="s">
        <v>90</v>
      </c>
      <c r="C5" s="594" t="s">
        <v>405</v>
      </c>
      <c r="D5" s="594" t="s">
        <v>186</v>
      </c>
      <c r="E5" s="594" t="s">
        <v>418</v>
      </c>
      <c r="F5" s="594" t="s">
        <v>262</v>
      </c>
      <c r="G5" s="594" t="s">
        <v>419</v>
      </c>
      <c r="H5" s="594" t="s">
        <v>420</v>
      </c>
      <c r="I5" s="594" t="s">
        <v>192</v>
      </c>
      <c r="J5" s="594" t="s">
        <v>193</v>
      </c>
      <c r="K5" s="632" t="s">
        <v>194</v>
      </c>
      <c r="L5" s="632" t="s">
        <v>346</v>
      </c>
      <c r="M5" s="632" t="s">
        <v>347</v>
      </c>
      <c r="N5" s="632" t="s">
        <v>194</v>
      </c>
      <c r="O5" s="594" t="s">
        <v>406</v>
      </c>
    </row>
    <row r="6" spans="1:15" ht="47.25" customHeight="1" x14ac:dyDescent="0.35">
      <c r="A6" s="841">
        <v>1</v>
      </c>
      <c r="B6" s="595" t="s">
        <v>407</v>
      </c>
      <c r="C6" s="596">
        <v>1500000</v>
      </c>
      <c r="D6" s="596"/>
      <c r="E6" s="596"/>
      <c r="F6" s="596"/>
      <c r="G6" s="596"/>
      <c r="H6" s="596"/>
      <c r="I6" s="596"/>
      <c r="J6" s="596"/>
      <c r="K6" s="633"/>
      <c r="L6" s="633"/>
      <c r="M6" s="633"/>
      <c r="N6" s="633"/>
      <c r="O6" s="597"/>
    </row>
    <row r="7" spans="1:15" ht="66.75" customHeight="1" x14ac:dyDescent="0.35">
      <c r="A7" s="842"/>
      <c r="B7" s="598" t="s">
        <v>422</v>
      </c>
      <c r="C7" s="599">
        <v>200000</v>
      </c>
      <c r="D7" s="643" t="s">
        <v>401</v>
      </c>
      <c r="E7" s="642" t="s">
        <v>441</v>
      </c>
      <c r="F7" s="640" t="s">
        <v>445</v>
      </c>
      <c r="G7" s="638">
        <v>200000</v>
      </c>
      <c r="H7" s="599">
        <f>C7-G7</f>
        <v>0</v>
      </c>
      <c r="I7" s="599"/>
      <c r="J7" s="599"/>
      <c r="K7" s="634"/>
      <c r="L7" s="634">
        <v>200000</v>
      </c>
      <c r="M7" s="634">
        <f>G7-L7</f>
        <v>0</v>
      </c>
      <c r="N7" s="634">
        <f>L7*100/G7</f>
        <v>100</v>
      </c>
      <c r="O7" s="598" t="s">
        <v>408</v>
      </c>
    </row>
    <row r="8" spans="1:15" ht="63" x14ac:dyDescent="0.35">
      <c r="A8" s="600"/>
      <c r="B8" s="598" t="s">
        <v>440</v>
      </c>
      <c r="C8" s="599">
        <v>259300</v>
      </c>
      <c r="D8" s="630" t="s">
        <v>401</v>
      </c>
      <c r="E8" s="642" t="s">
        <v>442</v>
      </c>
      <c r="F8" s="640" t="s">
        <v>446</v>
      </c>
      <c r="G8" s="638">
        <v>259000</v>
      </c>
      <c r="H8" s="599">
        <f t="shared" ref="H8:H12" si="0">C8-G8</f>
        <v>300</v>
      </c>
      <c r="I8" s="599">
        <v>259000</v>
      </c>
      <c r="J8" s="599"/>
      <c r="K8" s="634">
        <f>I8*100/G8</f>
        <v>100</v>
      </c>
      <c r="L8" s="634">
        <v>259000</v>
      </c>
      <c r="M8" s="634">
        <f t="shared" ref="M8:M12" si="1">G8-L8</f>
        <v>0</v>
      </c>
      <c r="N8" s="634">
        <f t="shared" ref="N8:N12" si="2">L8*100/G8</f>
        <v>100</v>
      </c>
      <c r="O8" s="598" t="s">
        <v>409</v>
      </c>
    </row>
    <row r="9" spans="1:15" ht="62.25" customHeight="1" x14ac:dyDescent="0.35">
      <c r="A9" s="600"/>
      <c r="B9" s="601" t="s">
        <v>451</v>
      </c>
      <c r="C9" s="602">
        <v>200000</v>
      </c>
      <c r="D9" s="643" t="s">
        <v>401</v>
      </c>
      <c r="E9" s="642" t="s">
        <v>443</v>
      </c>
      <c r="F9" s="641" t="s">
        <v>447</v>
      </c>
      <c r="G9" s="639">
        <v>200000</v>
      </c>
      <c r="H9" s="599">
        <f t="shared" si="0"/>
        <v>0</v>
      </c>
      <c r="I9" s="602"/>
      <c r="J9" s="602"/>
      <c r="K9" s="635"/>
      <c r="L9" s="635">
        <v>200000</v>
      </c>
      <c r="M9" s="634">
        <f t="shared" si="1"/>
        <v>0</v>
      </c>
      <c r="N9" s="634">
        <f t="shared" si="2"/>
        <v>100</v>
      </c>
      <c r="O9" s="601" t="s">
        <v>410</v>
      </c>
    </row>
    <row r="10" spans="1:15" ht="63" x14ac:dyDescent="0.35">
      <c r="A10" s="600"/>
      <c r="B10" s="598" t="s">
        <v>421</v>
      </c>
      <c r="C10" s="599">
        <v>300000</v>
      </c>
      <c r="D10" s="643" t="s">
        <v>401</v>
      </c>
      <c r="E10" s="642" t="s">
        <v>444</v>
      </c>
      <c r="F10" s="641" t="s">
        <v>448</v>
      </c>
      <c r="G10" s="639">
        <v>300000</v>
      </c>
      <c r="H10" s="599">
        <f>C10-G10</f>
        <v>0</v>
      </c>
      <c r="I10" s="599"/>
      <c r="J10" s="599"/>
      <c r="K10" s="634"/>
      <c r="L10" s="634">
        <v>300000</v>
      </c>
      <c r="M10" s="634">
        <f t="shared" si="1"/>
        <v>0</v>
      </c>
      <c r="N10" s="634">
        <f t="shared" si="2"/>
        <v>100</v>
      </c>
      <c r="O10" s="598" t="s">
        <v>411</v>
      </c>
    </row>
    <row r="11" spans="1:15" s="606" customFormat="1" ht="63" x14ac:dyDescent="0.35">
      <c r="A11" s="603"/>
      <c r="B11" s="604" t="s">
        <v>450</v>
      </c>
      <c r="C11" s="605">
        <v>299800</v>
      </c>
      <c r="D11" s="641" t="s">
        <v>374</v>
      </c>
      <c r="E11" s="642" t="s">
        <v>487</v>
      </c>
      <c r="F11" s="641" t="s">
        <v>488</v>
      </c>
      <c r="G11" s="639">
        <v>299800</v>
      </c>
      <c r="H11" s="599">
        <v>0</v>
      </c>
      <c r="I11" s="605"/>
      <c r="J11" s="605"/>
      <c r="K11" s="636"/>
      <c r="L11" s="636"/>
      <c r="M11" s="634">
        <f t="shared" si="1"/>
        <v>299800</v>
      </c>
      <c r="N11" s="634">
        <v>0</v>
      </c>
      <c r="O11" s="604" t="s">
        <v>412</v>
      </c>
    </row>
    <row r="12" spans="1:15" s="609" customFormat="1" ht="63" x14ac:dyDescent="0.2">
      <c r="A12" s="600"/>
      <c r="B12" s="607" t="s">
        <v>449</v>
      </c>
      <c r="C12" s="608">
        <v>240900</v>
      </c>
      <c r="D12" s="643" t="s">
        <v>401</v>
      </c>
      <c r="E12" s="642" t="s">
        <v>457</v>
      </c>
      <c r="F12" s="640" t="s">
        <v>332</v>
      </c>
      <c r="G12" s="638">
        <v>240900</v>
      </c>
      <c r="H12" s="599">
        <f t="shared" si="0"/>
        <v>0</v>
      </c>
      <c r="I12" s="608"/>
      <c r="J12" s="608"/>
      <c r="K12" s="634"/>
      <c r="L12" s="634">
        <v>240900</v>
      </c>
      <c r="M12" s="634">
        <f t="shared" si="1"/>
        <v>0</v>
      </c>
      <c r="N12" s="634">
        <f t="shared" si="2"/>
        <v>100</v>
      </c>
      <c r="O12" s="598" t="s">
        <v>413</v>
      </c>
    </row>
    <row r="13" spans="1:15" x14ac:dyDescent="0.35">
      <c r="A13" s="843" t="s">
        <v>3</v>
      </c>
      <c r="B13" s="844"/>
      <c r="C13" s="610">
        <f>SUM(C7:C12)</f>
        <v>1500000</v>
      </c>
      <c r="D13" s="610"/>
      <c r="E13" s="610"/>
      <c r="F13" s="610"/>
      <c r="G13" s="610">
        <f>SUM(G6:G12)</f>
        <v>1499700</v>
      </c>
      <c r="H13" s="610">
        <f>SUM(H6:H12)</f>
        <v>300</v>
      </c>
      <c r="I13" s="610">
        <f t="shared" ref="I13:M13" si="3">SUM(I6:I12)</f>
        <v>259000</v>
      </c>
      <c r="J13" s="610">
        <f t="shared" si="3"/>
        <v>0</v>
      </c>
      <c r="K13" s="610">
        <f t="shared" si="3"/>
        <v>100</v>
      </c>
      <c r="L13" s="610">
        <f t="shared" si="3"/>
        <v>1199900</v>
      </c>
      <c r="M13" s="610">
        <f t="shared" si="3"/>
        <v>299800</v>
      </c>
      <c r="N13" s="637">
        <f>L13*100/C13</f>
        <v>79.993333333333339</v>
      </c>
      <c r="O13" s="611"/>
    </row>
    <row r="14" spans="1:15" x14ac:dyDescent="0.35">
      <c r="A14" s="837" t="s">
        <v>414</v>
      </c>
      <c r="B14" s="838"/>
      <c r="C14" s="838"/>
      <c r="D14" s="838"/>
      <c r="E14" s="838"/>
      <c r="F14" s="838"/>
      <c r="G14" s="838"/>
      <c r="H14" s="838"/>
      <c r="I14" s="838"/>
      <c r="J14" s="838"/>
      <c r="K14" s="838"/>
      <c r="L14" s="838"/>
      <c r="M14" s="838"/>
      <c r="N14" s="838"/>
      <c r="O14" s="838"/>
    </row>
    <row r="15" spans="1:15" x14ac:dyDescent="0.35">
      <c r="A15" s="838" t="s">
        <v>415</v>
      </c>
      <c r="B15" s="838"/>
      <c r="C15" s="838"/>
      <c r="D15" s="838"/>
      <c r="E15" s="838"/>
      <c r="F15" s="838"/>
      <c r="G15" s="838"/>
      <c r="H15" s="838"/>
      <c r="I15" s="838"/>
      <c r="J15" s="838"/>
      <c r="K15" s="838"/>
      <c r="L15" s="838"/>
      <c r="M15" s="838"/>
      <c r="N15" s="838"/>
      <c r="O15" s="838"/>
    </row>
    <row r="16" spans="1:15" x14ac:dyDescent="0.35">
      <c r="A16" s="837" t="s">
        <v>416</v>
      </c>
      <c r="B16" s="837"/>
      <c r="C16" s="837"/>
      <c r="D16" s="837"/>
      <c r="E16" s="837"/>
      <c r="F16" s="837"/>
      <c r="G16" s="837"/>
      <c r="H16" s="837"/>
      <c r="I16" s="837"/>
      <c r="J16" s="837"/>
      <c r="K16" s="837"/>
      <c r="L16" s="837"/>
      <c r="M16" s="837"/>
      <c r="N16" s="837"/>
      <c r="O16" s="837"/>
    </row>
    <row r="17" spans="1:15" x14ac:dyDescent="0.35">
      <c r="A17" s="838" t="s">
        <v>417</v>
      </c>
      <c r="B17" s="838"/>
      <c r="C17" s="838"/>
      <c r="D17" s="838"/>
      <c r="E17" s="838"/>
      <c r="F17" s="838"/>
      <c r="G17" s="838"/>
      <c r="H17" s="838"/>
      <c r="I17" s="838"/>
      <c r="J17" s="838"/>
      <c r="K17" s="838"/>
      <c r="L17" s="838"/>
      <c r="M17" s="838"/>
      <c r="N17" s="838"/>
      <c r="O17" s="838"/>
    </row>
  </sheetData>
  <mergeCells count="10">
    <mergeCell ref="A14:O14"/>
    <mergeCell ref="A15:O15"/>
    <mergeCell ref="A16:O16"/>
    <mergeCell ref="A17:O17"/>
    <mergeCell ref="A1:O1"/>
    <mergeCell ref="A2:O2"/>
    <mergeCell ref="A3:O3"/>
    <mergeCell ref="A6:A7"/>
    <mergeCell ref="A13:B13"/>
    <mergeCell ref="K4:O4"/>
  </mergeCells>
  <pageMargins left="0.19685039370078741" right="0.19685039370078741" top="0.27559055118110237" bottom="0.19685039370078741" header="0.31496062992125984" footer="0.19685039370078741"/>
  <pageSetup paperSize="9"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7</vt:i4>
      </vt:variant>
    </vt:vector>
  </HeadingPairs>
  <TitlesOfParts>
    <vt:vector size="14" baseType="lpstr">
      <vt:lpstr>งบกลุ่มจังหวัด 2561</vt:lpstr>
      <vt:lpstr>แผนภาค 2561 </vt:lpstr>
      <vt:lpstr>งบจังหวัด 2561</vt:lpstr>
      <vt:lpstr> 8 ล้าน</vt:lpstr>
      <vt:lpstr> งบ 250000 เหมียว</vt:lpstr>
      <vt:lpstr>Sheet1</vt:lpstr>
      <vt:lpstr>งบเร่งด่วน 61</vt:lpstr>
      <vt:lpstr>'งบกลุ่มจังหวัด 2561'!Print_Area</vt:lpstr>
      <vt:lpstr>'งบจังหวัด 2561'!Print_Area</vt:lpstr>
      <vt:lpstr>' 8 ล้าน'!Print_Titles</vt:lpstr>
      <vt:lpstr>Sheet1!Print_Titles</vt:lpstr>
      <vt:lpstr>'งบกลุ่มจังหวัด 2561'!Print_Titles</vt:lpstr>
      <vt:lpstr>'งบจังหวัด 2561'!Print_Titles</vt:lpstr>
      <vt:lpstr>'แผนภาค 2561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jass</cp:lastModifiedBy>
  <cp:lastPrinted>2018-03-26T07:05:34Z</cp:lastPrinted>
  <dcterms:created xsi:type="dcterms:W3CDTF">2017-08-04T07:03:38Z</dcterms:created>
  <dcterms:modified xsi:type="dcterms:W3CDTF">2018-03-27T09:05:32Z</dcterms:modified>
</cp:coreProperties>
</file>