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0" windowWidth="20055" windowHeight="5820" activeTab="2"/>
  </bookViews>
  <sheets>
    <sheet name="งบกลุ่มจังหวัด 2561" sheetId="4" r:id="rId1"/>
    <sheet name="แผนภาค 2561 " sheetId="3" r:id="rId2"/>
    <sheet name="งบจังหวัด 2561" sheetId="1" r:id="rId3"/>
    <sheet name=" 8 ล้าน" sheetId="5" state="hidden" r:id="rId4"/>
    <sheet name=" งบ 250000 เหมียว" sheetId="7" state="hidden" r:id="rId5"/>
    <sheet name="Sheet1" sheetId="8" state="hidden" r:id="rId6"/>
    <sheet name="งบเร่งด่วน 61" sheetId="9" state="hidden" r:id="rId7"/>
    <sheet name="งบเร่งด่วน 61 (รอบ2)" sheetId="10" state="hidden" r:id="rId8"/>
  </sheets>
  <definedNames>
    <definedName name="_xlnm._FilterDatabase" localSheetId="0" hidden="1">'งบกลุ่มจังหวัด 2561'!$A$5:$F$33</definedName>
    <definedName name="_xlnm._FilterDatabase" localSheetId="2" hidden="1">'งบจังหวัด 2561'!$A$5:$Q$222</definedName>
    <definedName name="_xlnm._FilterDatabase" localSheetId="1" hidden="1">'แผนภาค 2561 '!$A$5:$M$5</definedName>
    <definedName name="_xlnm.Print_Area" localSheetId="2">'งบจังหวัด 2561'!$A$1:$Q$222</definedName>
    <definedName name="_xlnm.Print_Titles" localSheetId="3">' 8 ล้าน'!$4:$5</definedName>
    <definedName name="_xlnm.Print_Titles" localSheetId="5">Sheet1!$3:$3</definedName>
    <definedName name="_xlnm.Print_Titles" localSheetId="0">'งบกลุ่มจังหวัด 2561'!$5:$6</definedName>
    <definedName name="_xlnm.Print_Titles" localSheetId="2">'งบจังหวัด 2561'!$5:$6</definedName>
    <definedName name="_xlnm.Print_Titles" localSheetId="1">'แผนภาค 2561 '!$5:$6</definedName>
  </definedNames>
  <calcPr calcId="144525"/>
</workbook>
</file>

<file path=xl/calcChain.xml><?xml version="1.0" encoding="utf-8"?>
<calcChain xmlns="http://schemas.openxmlformats.org/spreadsheetml/2006/main">
  <c r="M28" i="1" l="1"/>
  <c r="L30" i="4" l="1"/>
  <c r="M198" i="1"/>
  <c r="M69" i="1"/>
  <c r="M110" i="1"/>
  <c r="M181" i="1" l="1"/>
  <c r="M179" i="1"/>
  <c r="M40" i="1" l="1"/>
  <c r="M33" i="1"/>
  <c r="M19" i="1"/>
  <c r="N101" i="1"/>
  <c r="M170" i="1" l="1"/>
  <c r="M128" i="1"/>
  <c r="F57" i="5" l="1"/>
  <c r="F23" i="5"/>
  <c r="F68" i="5"/>
  <c r="O217" i="1"/>
  <c r="N217" i="1"/>
  <c r="F67" i="5" l="1"/>
  <c r="F7" i="4" l="1"/>
  <c r="M152" i="1" l="1"/>
  <c r="F53" i="5" l="1"/>
  <c r="G63" i="5"/>
  <c r="I63" i="5"/>
  <c r="F11" i="5"/>
  <c r="F10" i="5"/>
  <c r="E13" i="10" l="1"/>
  <c r="E14" i="10"/>
  <c r="C15" i="10"/>
  <c r="M132" i="1"/>
  <c r="M55" i="1" l="1"/>
  <c r="N87" i="1"/>
  <c r="M87" i="1"/>
  <c r="M21" i="1" l="1"/>
  <c r="M31" i="1" l="1"/>
  <c r="F12" i="5" l="1"/>
  <c r="M49" i="1"/>
  <c r="F70" i="5"/>
  <c r="M200" i="1" l="1"/>
  <c r="N92" i="1"/>
  <c r="I62" i="5"/>
  <c r="G62" i="5"/>
  <c r="N218" i="1" l="1"/>
  <c r="N220" i="1"/>
  <c r="N221" i="1"/>
  <c r="N219" i="1"/>
  <c r="F109" i="1"/>
  <c r="F95" i="1"/>
  <c r="F78" i="1"/>
  <c r="K7" i="1"/>
  <c r="L7" i="1"/>
  <c r="K222" i="1"/>
  <c r="L222" i="1"/>
  <c r="G7" i="1"/>
  <c r="G222" i="1"/>
  <c r="F218" i="1"/>
  <c r="E218" i="1"/>
  <c r="E221" i="1"/>
  <c r="E220" i="1"/>
  <c r="E219" i="1"/>
  <c r="F36" i="5" l="1"/>
  <c r="M53" i="1"/>
  <c r="D15" i="10" l="1"/>
  <c r="I38" i="3" l="1"/>
  <c r="K32" i="3"/>
  <c r="K33" i="3"/>
  <c r="K31" i="3"/>
  <c r="I34" i="3"/>
  <c r="J34" i="3"/>
  <c r="K34" i="3"/>
  <c r="D34" i="3"/>
  <c r="C34" i="3"/>
  <c r="C30" i="3"/>
  <c r="D30" i="3"/>
  <c r="D22" i="3"/>
  <c r="C33" i="3"/>
  <c r="C32" i="3"/>
  <c r="C31" i="3"/>
  <c r="M39" i="4"/>
  <c r="M38" i="4"/>
  <c r="M37" i="4"/>
  <c r="M35" i="4"/>
  <c r="F33" i="4"/>
  <c r="E17" i="4"/>
  <c r="F19" i="4"/>
  <c r="F20" i="4"/>
  <c r="F21" i="4"/>
  <c r="E11" i="4"/>
  <c r="F13" i="4"/>
  <c r="F14" i="4"/>
  <c r="D39" i="4"/>
  <c r="G203" i="1"/>
  <c r="G176" i="1"/>
  <c r="G167" i="1"/>
  <c r="G162" i="1"/>
  <c r="G152" i="1"/>
  <c r="G135" i="1"/>
  <c r="G128" i="1"/>
  <c r="G116" i="1"/>
  <c r="G108" i="1"/>
  <c r="G105" i="1"/>
  <c r="G74" i="1"/>
  <c r="G73" i="1"/>
  <c r="G49" i="1"/>
  <c r="G47" i="1"/>
  <c r="G46" i="1"/>
  <c r="G38" i="1"/>
  <c r="G36" i="1"/>
  <c r="G24" i="1"/>
  <c r="G16" i="1"/>
  <c r="G11" i="1"/>
  <c r="F147" i="1"/>
  <c r="F88" i="1"/>
  <c r="K88" i="1"/>
  <c r="F86" i="1"/>
  <c r="K86" i="1"/>
  <c r="F85" i="1"/>
  <c r="K85" i="1"/>
  <c r="F83" i="1"/>
  <c r="K83" i="1"/>
  <c r="F205" i="1"/>
  <c r="F203" i="1" s="1"/>
  <c r="E203" i="1" s="1"/>
  <c r="K80" i="1"/>
  <c r="N80" i="1"/>
  <c r="F80" i="1"/>
  <c r="F81" i="1"/>
  <c r="F66" i="1"/>
  <c r="F62" i="1"/>
  <c r="F61" i="1"/>
  <c r="M178" i="1" l="1"/>
  <c r="M189" i="1"/>
  <c r="M194" i="1"/>
  <c r="M188" i="1"/>
  <c r="M138" i="1" l="1"/>
  <c r="N206" i="1" l="1"/>
  <c r="L206" i="1"/>
  <c r="D16" i="3" l="1"/>
  <c r="M12" i="1"/>
  <c r="F28" i="5" l="1"/>
  <c r="F16" i="5"/>
  <c r="P98" i="1" l="1"/>
  <c r="N98" i="1" s="1"/>
  <c r="F25" i="5" l="1"/>
  <c r="F26" i="4" l="1"/>
  <c r="D38" i="4"/>
  <c r="D37" i="4"/>
  <c r="D35" i="4"/>
  <c r="K27" i="3" l="1"/>
  <c r="K28" i="3"/>
  <c r="K29" i="3"/>
  <c r="K26" i="3"/>
  <c r="K24" i="3"/>
  <c r="L13" i="3"/>
  <c r="L14" i="3"/>
  <c r="E12" i="10" l="1"/>
  <c r="E6" i="10"/>
  <c r="F48" i="5"/>
  <c r="M134" i="1" l="1"/>
  <c r="N180" i="1"/>
  <c r="N181" i="1"/>
  <c r="N182" i="1"/>
  <c r="N183" i="1"/>
  <c r="N185" i="1"/>
  <c r="N186" i="1"/>
  <c r="N187" i="1"/>
  <c r="N188" i="1"/>
  <c r="N189" i="1"/>
  <c r="N190" i="1"/>
  <c r="N191" i="1"/>
  <c r="N192" i="1"/>
  <c r="N193" i="1"/>
  <c r="N194" i="1"/>
  <c r="N195" i="1"/>
  <c r="N197" i="1"/>
  <c r="N198" i="1"/>
  <c r="N199" i="1"/>
  <c r="N200" i="1"/>
  <c r="N201" i="1"/>
  <c r="N179" i="1"/>
  <c r="M184" i="1"/>
  <c r="N184" i="1" s="1"/>
  <c r="M155" i="1" l="1"/>
  <c r="F49" i="5"/>
  <c r="H15" i="3"/>
  <c r="D5" i="7" l="1"/>
  <c r="O31" i="4"/>
  <c r="O29" i="4"/>
  <c r="O27" i="4"/>
  <c r="O25" i="4"/>
  <c r="M24" i="4"/>
  <c r="O23" i="4"/>
  <c r="O9" i="4"/>
  <c r="O8" i="4" s="1"/>
  <c r="F71" i="5"/>
  <c r="F35" i="5"/>
  <c r="F34" i="5"/>
  <c r="F33" i="5"/>
  <c r="F32" i="5"/>
  <c r="F31" i="5"/>
  <c r="O22" i="4" l="1"/>
  <c r="O7" i="4" s="1"/>
  <c r="F38" i="5"/>
  <c r="G51" i="5"/>
  <c r="I51" i="5"/>
  <c r="I50" i="5"/>
  <c r="G50" i="5"/>
  <c r="F43" i="5"/>
  <c r="O40" i="4" l="1"/>
  <c r="F24" i="5"/>
  <c r="F27" i="5"/>
  <c r="M196" i="1" l="1"/>
  <c r="N196" i="1" s="1"/>
  <c r="N100" i="1" l="1"/>
  <c r="L25" i="3" l="1"/>
  <c r="M168" i="1" l="1"/>
  <c r="F29" i="5" l="1"/>
  <c r="M135" i="1" l="1"/>
  <c r="I16" i="3" l="1"/>
  <c r="I23" i="3"/>
  <c r="J23" i="3"/>
  <c r="K23" i="3"/>
  <c r="H23" i="3"/>
  <c r="H34" i="3" s="1"/>
  <c r="K16" i="3"/>
  <c r="K25" i="3"/>
  <c r="I25" i="3"/>
  <c r="C23" i="3"/>
  <c r="D23" i="3"/>
  <c r="D21" i="3"/>
  <c r="C29" i="3"/>
  <c r="C28" i="3"/>
  <c r="C27" i="3"/>
  <c r="C26" i="3"/>
  <c r="C25" i="3"/>
  <c r="K10" i="3" l="1"/>
  <c r="I10" i="3"/>
  <c r="M26" i="1" l="1"/>
  <c r="M167" i="1" l="1"/>
  <c r="N167" i="1" s="1"/>
  <c r="M116" i="1" l="1"/>
  <c r="M47" i="1" l="1"/>
  <c r="F66" i="5" l="1"/>
  <c r="M176" i="1" l="1"/>
  <c r="F55" i="5" l="1"/>
  <c r="M105" i="1" l="1"/>
  <c r="M108" i="1"/>
  <c r="N135" i="1"/>
  <c r="E11" i="10" l="1"/>
  <c r="E10" i="10"/>
  <c r="P55" i="1" l="1"/>
  <c r="N55" i="1" s="1"/>
  <c r="N128" i="1"/>
  <c r="N49" i="1"/>
  <c r="E9" i="10"/>
  <c r="E7" i="10"/>
  <c r="E8" i="10"/>
  <c r="E15" i="10" l="1"/>
  <c r="M29" i="1"/>
  <c r="M160" i="1" l="1"/>
  <c r="N62" i="1" l="1"/>
  <c r="L62" i="1"/>
  <c r="L61" i="1"/>
  <c r="F15" i="5" l="1"/>
  <c r="M79" i="1" l="1"/>
  <c r="P86" i="1" l="1"/>
  <c r="P83" i="1"/>
  <c r="M126" i="1" l="1"/>
  <c r="M18" i="1" l="1"/>
  <c r="L66" i="1" l="1"/>
  <c r="L63" i="1"/>
  <c r="N61" i="1"/>
  <c r="L19" i="3"/>
  <c r="I19" i="3"/>
  <c r="M34" i="1" l="1"/>
  <c r="K21" i="3" l="1"/>
  <c r="M173" i="1"/>
  <c r="M70" i="1" l="1"/>
  <c r="G61" i="5" l="1"/>
  <c r="I61" i="5"/>
  <c r="I21" i="3" l="1"/>
  <c r="E64" i="1" l="1"/>
  <c r="F26" i="5" l="1"/>
  <c r="I60" i="5" l="1"/>
  <c r="G60" i="5"/>
  <c r="C10" i="3" l="1"/>
  <c r="C19" i="3"/>
  <c r="C20" i="3"/>
  <c r="C21" i="3"/>
  <c r="C22" i="3"/>
  <c r="C16" i="3"/>
  <c r="M89" i="1" l="1"/>
  <c r="P20" i="1" l="1"/>
  <c r="M22" i="1" l="1"/>
  <c r="G49" i="5" l="1"/>
  <c r="I49" i="5"/>
  <c r="M24" i="1" l="1"/>
  <c r="N24" i="1" s="1"/>
  <c r="D20" i="3" l="1"/>
  <c r="D19" i="3"/>
  <c r="C24" i="3"/>
  <c r="M25" i="1"/>
  <c r="N152" i="1" l="1"/>
  <c r="M36" i="1" l="1"/>
  <c r="N36" i="1" s="1"/>
  <c r="M165" i="1" l="1"/>
  <c r="N116" i="1" l="1"/>
  <c r="N47" i="1"/>
  <c r="M67" i="1" l="1"/>
  <c r="M161" i="1" l="1"/>
  <c r="M162" i="1"/>
  <c r="N162" i="1" s="1"/>
  <c r="O108" i="1"/>
  <c r="M11" i="1"/>
  <c r="N11" i="1" s="1"/>
  <c r="M203" i="1" l="1"/>
  <c r="F91" i="1" l="1"/>
  <c r="F65" i="1" l="1"/>
  <c r="F60" i="1" s="1"/>
  <c r="F51" i="1"/>
  <c r="O18" i="1" l="1"/>
  <c r="M16" i="1"/>
  <c r="P106" i="1" l="1"/>
  <c r="N108" i="1"/>
  <c r="N16" i="1"/>
  <c r="M17" i="1"/>
  <c r="N17" i="1"/>
  <c r="F146" i="1"/>
  <c r="F145" i="1"/>
  <c r="F142" i="1"/>
  <c r="F112" i="1"/>
  <c r="F102" i="1"/>
  <c r="F101" i="1"/>
  <c r="F100" i="1"/>
  <c r="F99" i="1"/>
  <c r="F98" i="1"/>
  <c r="F94" i="1"/>
  <c r="F93" i="1"/>
  <c r="F92" i="1"/>
  <c r="F89" i="1"/>
  <c r="F87" i="1"/>
  <c r="F79" i="1"/>
  <c r="N207" i="1"/>
  <c r="K203" i="1"/>
  <c r="O203" i="1"/>
  <c r="E207" i="1"/>
  <c r="E206" i="1"/>
  <c r="K102" i="1" l="1"/>
  <c r="H12" i="9" l="1"/>
  <c r="F45" i="5" l="1"/>
  <c r="M26" i="4" l="1"/>
  <c r="K26" i="4"/>
  <c r="I59" i="5" l="1"/>
  <c r="G59" i="5"/>
  <c r="M8" i="9" l="1"/>
  <c r="M9" i="9"/>
  <c r="M10" i="9"/>
  <c r="M11" i="9"/>
  <c r="M12" i="9"/>
  <c r="M7" i="9"/>
  <c r="N12" i="9"/>
  <c r="N8" i="9"/>
  <c r="N9" i="9"/>
  <c r="N10" i="9"/>
  <c r="N7" i="9"/>
  <c r="I13" i="9"/>
  <c r="J13" i="9"/>
  <c r="L13" i="9"/>
  <c r="M13" i="9" l="1"/>
  <c r="M131" i="1" l="1"/>
  <c r="N176" i="1"/>
  <c r="M23" i="1" l="1"/>
  <c r="M20" i="1" s="1"/>
  <c r="K19" i="3" l="1"/>
  <c r="K20" i="3"/>
  <c r="K22" i="3"/>
  <c r="I20" i="3"/>
  <c r="I15" i="3" l="1"/>
  <c r="J15" i="3"/>
  <c r="K15" i="3"/>
  <c r="D15" i="3"/>
  <c r="L15" i="3" s="1"/>
  <c r="L146" i="1" l="1"/>
  <c r="M10" i="1" l="1"/>
  <c r="M15" i="1"/>
  <c r="M30" i="1"/>
  <c r="M32" i="1"/>
  <c r="M35" i="1"/>
  <c r="M38" i="1"/>
  <c r="M39" i="1"/>
  <c r="L147" i="1"/>
  <c r="L51" i="1"/>
  <c r="M37" i="1" l="1"/>
  <c r="N38" i="1"/>
  <c r="M13" i="1"/>
  <c r="M9" i="1" s="1"/>
  <c r="N91" i="1" l="1"/>
  <c r="H10" i="9" l="1"/>
  <c r="H8" i="9"/>
  <c r="H9" i="9"/>
  <c r="H7" i="9"/>
  <c r="P203" i="1" l="1"/>
  <c r="P177" i="1"/>
  <c r="P175" i="1"/>
  <c r="P154" i="1"/>
  <c r="P153" i="1" s="1"/>
  <c r="P151" i="1"/>
  <c r="P149" i="1"/>
  <c r="P143" i="1"/>
  <c r="P140" i="1" s="1"/>
  <c r="P137" i="1"/>
  <c r="P136" i="1" s="1"/>
  <c r="P130" i="1"/>
  <c r="P129" i="1" s="1"/>
  <c r="P124" i="1"/>
  <c r="P123" i="1" s="1"/>
  <c r="P120" i="1"/>
  <c r="P118" i="1"/>
  <c r="P115" i="1"/>
  <c r="P114" i="1" s="1"/>
  <c r="P104" i="1"/>
  <c r="P103" i="1" s="1"/>
  <c r="P97" i="1"/>
  <c r="P90" i="1"/>
  <c r="P82" i="1"/>
  <c r="P77" i="1"/>
  <c r="P72" i="1"/>
  <c r="P71" i="1" s="1"/>
  <c r="P68" i="1"/>
  <c r="P45" i="1"/>
  <c r="P42" i="1"/>
  <c r="P41" i="1" s="1"/>
  <c r="P39" i="1"/>
  <c r="P37" i="1"/>
  <c r="P35" i="1"/>
  <c r="P10" i="1"/>
  <c r="P96" i="1" l="1"/>
  <c r="R100" i="1"/>
  <c r="P117" i="1"/>
  <c r="P113" i="1" s="1"/>
  <c r="P174" i="1"/>
  <c r="P148" i="1"/>
  <c r="P76" i="1"/>
  <c r="P44" i="1"/>
  <c r="P139" i="1" l="1"/>
  <c r="K8" i="9" l="1"/>
  <c r="K13" i="9" s="1"/>
  <c r="F44" i="5" l="1"/>
  <c r="M73" i="1"/>
  <c r="N73" i="1" s="1"/>
  <c r="O65" i="1"/>
  <c r="N63" i="1"/>
  <c r="N65" i="1"/>
  <c r="N66" i="1"/>
  <c r="N52" i="1"/>
  <c r="O51" i="1"/>
  <c r="N51" i="1"/>
  <c r="N205" i="1"/>
  <c r="N210" i="1"/>
  <c r="N203" i="1" s="1"/>
  <c r="O210" i="1"/>
  <c r="O205" i="1"/>
  <c r="N146" i="1"/>
  <c r="N147" i="1"/>
  <c r="O146" i="1"/>
  <c r="O147" i="1"/>
  <c r="N145" i="1"/>
  <c r="O145" i="1"/>
  <c r="L145" i="1"/>
  <c r="N142" i="1"/>
  <c r="O142" i="1"/>
  <c r="L142" i="1"/>
  <c r="N112" i="1"/>
  <c r="O112" i="1"/>
  <c r="L101" i="1"/>
  <c r="L102" i="1"/>
  <c r="L99" i="1"/>
  <c r="L100" i="1"/>
  <c r="O102" i="1"/>
  <c r="O99" i="1"/>
  <c r="N102" i="1"/>
  <c r="N99" i="1"/>
  <c r="L98" i="1"/>
  <c r="N60" i="1" l="1"/>
  <c r="N144" i="1"/>
  <c r="I58" i="5" l="1"/>
  <c r="G58" i="5"/>
  <c r="M121" i="1" l="1"/>
  <c r="F9" i="5" l="1"/>
  <c r="F8" i="5"/>
  <c r="G48" i="5" l="1"/>
  <c r="I48" i="5"/>
  <c r="I47" i="5"/>
  <c r="G47" i="5"/>
  <c r="I57" i="5"/>
  <c r="G57" i="5"/>
  <c r="M43" i="1" l="1"/>
  <c r="L112" i="1" l="1"/>
  <c r="L205" i="1"/>
  <c r="L133" i="1"/>
  <c r="L127" i="1"/>
  <c r="L210" i="1"/>
  <c r="L203" i="1" l="1"/>
  <c r="L65" i="1"/>
  <c r="M75" i="1" l="1"/>
  <c r="M74" i="1"/>
  <c r="N74" i="1" s="1"/>
  <c r="E28" i="5" l="1"/>
  <c r="E23" i="5"/>
  <c r="M46" i="1" l="1"/>
  <c r="N46" i="1" s="1"/>
  <c r="N105" i="1" l="1"/>
  <c r="O110" i="1" l="1"/>
  <c r="M156" i="1" l="1"/>
  <c r="H13" i="9" l="1"/>
  <c r="G13" i="9"/>
  <c r="C13" i="9"/>
  <c r="L74" i="8" l="1"/>
  <c r="O73" i="8"/>
  <c r="F73" i="8"/>
  <c r="O70" i="8"/>
  <c r="F70" i="8"/>
  <c r="O68" i="8"/>
  <c r="N68" i="8"/>
  <c r="O67" i="8"/>
  <c r="F67" i="8"/>
  <c r="O66" i="8"/>
  <c r="F66" i="8"/>
  <c r="O65" i="8"/>
  <c r="F65" i="8"/>
  <c r="O64" i="8"/>
  <c r="N64" i="8"/>
  <c r="O63" i="8"/>
  <c r="F63" i="8"/>
  <c r="O62" i="8"/>
  <c r="N62" i="8"/>
  <c r="P59" i="8"/>
  <c r="O59" i="8"/>
  <c r="P55" i="8"/>
  <c r="O55" i="8"/>
  <c r="F55" i="8"/>
  <c r="N54" i="8"/>
  <c r="N53" i="8" s="1"/>
  <c r="N52" i="8" s="1"/>
  <c r="O50" i="8"/>
  <c r="O49" i="8" s="1"/>
  <c r="F50" i="8"/>
  <c r="N49" i="8"/>
  <c r="O48" i="8"/>
  <c r="F48" i="8"/>
  <c r="O44" i="8"/>
  <c r="F44" i="8"/>
  <c r="O43" i="8"/>
  <c r="F43" i="8"/>
  <c r="O42" i="8"/>
  <c r="F42" i="8"/>
  <c r="O41" i="8"/>
  <c r="F41" i="8"/>
  <c r="O40" i="8"/>
  <c r="F40" i="8"/>
  <c r="O39" i="8"/>
  <c r="O38" i="8" s="1"/>
  <c r="N39" i="8"/>
  <c r="N38" i="8" s="1"/>
  <c r="O37" i="8"/>
  <c r="F37" i="8"/>
  <c r="P36" i="8"/>
  <c r="O36" i="8"/>
  <c r="M36" i="8"/>
  <c r="F36" i="8"/>
  <c r="P35" i="8"/>
  <c r="O35" i="8"/>
  <c r="M35" i="8"/>
  <c r="F35" i="8"/>
  <c r="P34" i="8"/>
  <c r="O34" i="8"/>
  <c r="M34" i="8"/>
  <c r="F34" i="8"/>
  <c r="P33" i="8"/>
  <c r="O33" i="8"/>
  <c r="M33" i="8"/>
  <c r="F33" i="8"/>
  <c r="N32" i="8"/>
  <c r="P31" i="8"/>
  <c r="O31" i="8"/>
  <c r="M31" i="8"/>
  <c r="F31" i="8"/>
  <c r="P30" i="8"/>
  <c r="O30" i="8"/>
  <c r="M30" i="8"/>
  <c r="F30" i="8"/>
  <c r="P29" i="8"/>
  <c r="O29" i="8"/>
  <c r="M29" i="8"/>
  <c r="F29" i="8"/>
  <c r="P28" i="8"/>
  <c r="O28" i="8"/>
  <c r="M28" i="8"/>
  <c r="F28" i="8"/>
  <c r="P27" i="8"/>
  <c r="O27" i="8"/>
  <c r="M27" i="8"/>
  <c r="F27" i="8"/>
  <c r="P26" i="8"/>
  <c r="O26" i="8"/>
  <c r="M26" i="8"/>
  <c r="F26" i="8"/>
  <c r="P25" i="8"/>
  <c r="O25" i="8"/>
  <c r="O24" i="8" s="1"/>
  <c r="M25" i="8"/>
  <c r="F25" i="8"/>
  <c r="N24" i="8"/>
  <c r="P23" i="8"/>
  <c r="O23" i="8"/>
  <c r="M23" i="8"/>
  <c r="F23" i="8"/>
  <c r="P22" i="8"/>
  <c r="O22" i="8"/>
  <c r="G22" i="8"/>
  <c r="M22" i="8" s="1"/>
  <c r="P21" i="8"/>
  <c r="O21" i="8"/>
  <c r="M21" i="8"/>
  <c r="M74" i="8" s="1"/>
  <c r="F21" i="8"/>
  <c r="N20" i="8"/>
  <c r="O18" i="8"/>
  <c r="F18" i="8"/>
  <c r="O17" i="8"/>
  <c r="F17" i="8"/>
  <c r="O16" i="8"/>
  <c r="F16" i="8"/>
  <c r="O15" i="8"/>
  <c r="F15" i="8"/>
  <c r="O14" i="8"/>
  <c r="F14" i="8"/>
  <c r="O8" i="8"/>
  <c r="F8" i="8"/>
  <c r="O7" i="8"/>
  <c r="F7" i="8"/>
  <c r="N6" i="8"/>
  <c r="Q74" i="8"/>
  <c r="G74" i="8" l="1"/>
  <c r="F74" i="8" s="1"/>
  <c r="O61" i="8"/>
  <c r="N61" i="8"/>
  <c r="O20" i="8"/>
  <c r="P32" i="8"/>
  <c r="P54" i="8"/>
  <c r="P52" i="8"/>
  <c r="P6" i="8"/>
  <c r="O32" i="8"/>
  <c r="N47" i="8"/>
  <c r="N46" i="8" s="1"/>
  <c r="N45" i="8" s="1"/>
  <c r="O47" i="8"/>
  <c r="O46" i="8" s="1"/>
  <c r="O6" i="8"/>
  <c r="P20" i="8"/>
  <c r="F22" i="8"/>
  <c r="P24" i="8"/>
  <c r="N9" i="8"/>
  <c r="O9" i="8"/>
  <c r="N19" i="8"/>
  <c r="O54" i="8"/>
  <c r="N58" i="8"/>
  <c r="O58" i="8"/>
  <c r="E210" i="1"/>
  <c r="E205" i="1"/>
  <c r="P9" i="8" l="1"/>
  <c r="O19" i="8"/>
  <c r="P46" i="8"/>
  <c r="O53" i="8"/>
  <c r="O52" i="8" s="1"/>
  <c r="O45" i="8"/>
  <c r="P53" i="8"/>
  <c r="P45" i="8"/>
  <c r="P19" i="8"/>
  <c r="P47" i="8"/>
  <c r="O5" i="8"/>
  <c r="N60" i="8"/>
  <c r="P58" i="8"/>
  <c r="N57" i="8"/>
  <c r="N5" i="8"/>
  <c r="O57" i="8"/>
  <c r="O56" i="8" s="1"/>
  <c r="O51" i="8" l="1"/>
  <c r="P60" i="8"/>
  <c r="O60" i="8"/>
  <c r="O74" i="8"/>
  <c r="P5" i="8"/>
  <c r="P57" i="8"/>
  <c r="N56" i="8"/>
  <c r="P56" i="8" l="1"/>
  <c r="N74" i="8"/>
  <c r="N51" i="8"/>
  <c r="P51" i="8" s="1"/>
  <c r="P74" i="8" l="1"/>
  <c r="F54" i="5"/>
  <c r="M119" i="1" l="1"/>
  <c r="L94" i="1" l="1"/>
  <c r="L93" i="1"/>
  <c r="H21" i="5" l="1"/>
  <c r="H72" i="5" s="1"/>
  <c r="H38" i="5"/>
  <c r="G42" i="5"/>
  <c r="G46" i="5" l="1"/>
  <c r="I46" i="5"/>
  <c r="C6" i="7" l="1"/>
  <c r="E5" i="7"/>
  <c r="E6" i="7" s="1"/>
  <c r="F5" i="7" l="1"/>
  <c r="F6" i="7" s="1"/>
  <c r="D6" i="7"/>
  <c r="F42" i="5" l="1"/>
  <c r="G45" i="5"/>
  <c r="I45" i="5"/>
  <c r="G13" i="1" l="1"/>
  <c r="M166" i="1" l="1"/>
  <c r="L92" i="1" l="1"/>
  <c r="J12" i="4" l="1"/>
  <c r="L91" i="1" l="1"/>
  <c r="L85" i="1"/>
  <c r="L86" i="1"/>
  <c r="L87" i="1"/>
  <c r="L88" i="1"/>
  <c r="L89" i="1"/>
  <c r="L84" i="1"/>
  <c r="L83" i="1"/>
  <c r="N81" i="1"/>
  <c r="L81" i="1"/>
  <c r="O81" i="1"/>
  <c r="N79" i="1"/>
  <c r="O79" i="1"/>
  <c r="L79" i="1"/>
  <c r="N23" i="1" l="1"/>
  <c r="G20" i="1"/>
  <c r="N20" i="1" s="1"/>
  <c r="E27" i="1"/>
  <c r="N27" i="1"/>
  <c r="O27" i="1"/>
  <c r="E26" i="1"/>
  <c r="N26" i="1"/>
  <c r="O26" i="1"/>
  <c r="E25" i="1"/>
  <c r="N25" i="1"/>
  <c r="O25" i="1"/>
  <c r="E24" i="1"/>
  <c r="E23" i="1"/>
  <c r="O23" i="1"/>
  <c r="E22" i="1"/>
  <c r="N22" i="1"/>
  <c r="O22" i="1"/>
  <c r="E21" i="1"/>
  <c r="N21" i="1"/>
  <c r="O21" i="1"/>
  <c r="I56" i="5" l="1"/>
  <c r="G56" i="5"/>
  <c r="I44" i="5" l="1"/>
  <c r="G44" i="5"/>
  <c r="E26" i="5"/>
  <c r="I37" i="5"/>
  <c r="G37" i="5"/>
  <c r="E37" i="5"/>
  <c r="G55" i="5" l="1"/>
  <c r="I55" i="5"/>
  <c r="I54" i="5"/>
  <c r="G54" i="5"/>
  <c r="F39" i="5" l="1"/>
  <c r="I43" i="5" l="1"/>
  <c r="G43" i="5"/>
  <c r="M125" i="1" l="1"/>
  <c r="F50" i="1" l="1"/>
  <c r="I41" i="5" l="1"/>
  <c r="G41" i="5"/>
  <c r="O178" i="1" l="1"/>
  <c r="O176" i="1"/>
  <c r="O156" i="1"/>
  <c r="O157" i="1"/>
  <c r="O158" i="1"/>
  <c r="O159" i="1"/>
  <c r="O160" i="1"/>
  <c r="O161" i="1"/>
  <c r="O163" i="1"/>
  <c r="O164" i="1"/>
  <c r="O165" i="1"/>
  <c r="O166" i="1"/>
  <c r="O168" i="1"/>
  <c r="O169" i="1"/>
  <c r="O170" i="1"/>
  <c r="O171" i="1"/>
  <c r="O172" i="1"/>
  <c r="O173" i="1"/>
  <c r="O155" i="1"/>
  <c r="O152" i="1"/>
  <c r="O150" i="1"/>
  <c r="O138" i="1"/>
  <c r="O135" i="1"/>
  <c r="O134" i="1"/>
  <c r="O133" i="1"/>
  <c r="O132" i="1"/>
  <c r="O128" i="1"/>
  <c r="O127" i="1"/>
  <c r="O126" i="1"/>
  <c r="O122" i="1"/>
  <c r="O121" i="1"/>
  <c r="O119" i="1"/>
  <c r="O105" i="1"/>
  <c r="O93" i="1"/>
  <c r="O94" i="1"/>
  <c r="O91" i="1"/>
  <c r="O84" i="1"/>
  <c r="O89" i="1"/>
  <c r="O75" i="1"/>
  <c r="O70" i="1"/>
  <c r="O69" i="1"/>
  <c r="O67" i="1"/>
  <c r="O55" i="1"/>
  <c r="O53" i="1"/>
  <c r="O49" i="1"/>
  <c r="O43" i="1"/>
  <c r="O40" i="1"/>
  <c r="O38" i="1"/>
  <c r="O15" i="1"/>
  <c r="O17" i="1"/>
  <c r="O19" i="1"/>
  <c r="O20" i="1"/>
  <c r="O28" i="1"/>
  <c r="O29" i="1"/>
  <c r="O30" i="1"/>
  <c r="O31" i="1"/>
  <c r="O32" i="1"/>
  <c r="O33" i="1"/>
  <c r="O34" i="1"/>
  <c r="N178" i="1"/>
  <c r="N177" i="1" s="1"/>
  <c r="N175" i="1"/>
  <c r="N156" i="1"/>
  <c r="N157" i="1"/>
  <c r="N158" i="1"/>
  <c r="N159" i="1"/>
  <c r="N160" i="1"/>
  <c r="N161" i="1"/>
  <c r="N163" i="1"/>
  <c r="N164" i="1"/>
  <c r="N165" i="1"/>
  <c r="N166" i="1"/>
  <c r="N168" i="1"/>
  <c r="N169" i="1"/>
  <c r="N170" i="1"/>
  <c r="N171" i="1"/>
  <c r="N172" i="1"/>
  <c r="N173" i="1"/>
  <c r="N155" i="1"/>
  <c r="N150" i="1"/>
  <c r="N149" i="1" s="1"/>
  <c r="N141" i="1"/>
  <c r="N138" i="1"/>
  <c r="N137" i="1" s="1"/>
  <c r="N136" i="1" s="1"/>
  <c r="N134" i="1"/>
  <c r="N133" i="1"/>
  <c r="N132" i="1"/>
  <c r="N127" i="1"/>
  <c r="N126" i="1"/>
  <c r="N122" i="1"/>
  <c r="N121" i="1"/>
  <c r="N119" i="1"/>
  <c r="N118" i="1" s="1"/>
  <c r="N115" i="1"/>
  <c r="N114" i="1" s="1"/>
  <c r="N110" i="1"/>
  <c r="N104" i="1"/>
  <c r="N93" i="1"/>
  <c r="N94" i="1"/>
  <c r="N84" i="1"/>
  <c r="N89" i="1"/>
  <c r="N75" i="1"/>
  <c r="N70" i="1"/>
  <c r="N69" i="1"/>
  <c r="N67" i="1"/>
  <c r="N53" i="1"/>
  <c r="N43" i="1"/>
  <c r="N42" i="1" s="1"/>
  <c r="N41" i="1" s="1"/>
  <c r="N40" i="1"/>
  <c r="N39" i="1" s="1"/>
  <c r="N35" i="1"/>
  <c r="N15" i="1"/>
  <c r="P13" i="1"/>
  <c r="P9" i="1" s="1"/>
  <c r="P8" i="1" s="1"/>
  <c r="N18" i="1"/>
  <c r="N19" i="1"/>
  <c r="N28" i="1"/>
  <c r="N29" i="1"/>
  <c r="N30" i="1"/>
  <c r="N31" i="1"/>
  <c r="N32" i="1"/>
  <c r="N33" i="1"/>
  <c r="N34" i="1"/>
  <c r="K177" i="1"/>
  <c r="L177" i="1"/>
  <c r="L174" i="1" s="1"/>
  <c r="M177" i="1"/>
  <c r="K175" i="1"/>
  <c r="K174" i="1" s="1"/>
  <c r="L175" i="1"/>
  <c r="M175" i="1"/>
  <c r="K154" i="1"/>
  <c r="K153" i="1" s="1"/>
  <c r="L154" i="1"/>
  <c r="L153" i="1" s="1"/>
  <c r="M154" i="1"/>
  <c r="M153" i="1" s="1"/>
  <c r="K151" i="1"/>
  <c r="L151" i="1"/>
  <c r="M151" i="1"/>
  <c r="N151" i="1"/>
  <c r="K149" i="1"/>
  <c r="L149" i="1"/>
  <c r="L148" i="1" s="1"/>
  <c r="M149" i="1"/>
  <c r="K144" i="1"/>
  <c r="L144" i="1"/>
  <c r="L143" i="1" s="1"/>
  <c r="M144" i="1"/>
  <c r="M143" i="1" s="1"/>
  <c r="N143" i="1"/>
  <c r="K141" i="1"/>
  <c r="L141" i="1"/>
  <c r="M141" i="1"/>
  <c r="O141" i="1" s="1"/>
  <c r="K137" i="1"/>
  <c r="K136" i="1" s="1"/>
  <c r="L137" i="1"/>
  <c r="L136" i="1" s="1"/>
  <c r="M137" i="1"/>
  <c r="M136" i="1" s="1"/>
  <c r="K131" i="1"/>
  <c r="K130" i="1" s="1"/>
  <c r="K129" i="1" s="1"/>
  <c r="L131" i="1"/>
  <c r="L130" i="1" s="1"/>
  <c r="L129" i="1" s="1"/>
  <c r="M130" i="1"/>
  <c r="M129" i="1" s="1"/>
  <c r="K125" i="1"/>
  <c r="K124" i="1" s="1"/>
  <c r="K123" i="1" s="1"/>
  <c r="L125" i="1"/>
  <c r="L124" i="1" s="1"/>
  <c r="L123" i="1" s="1"/>
  <c r="M124" i="1"/>
  <c r="M123" i="1" s="1"/>
  <c r="K120" i="1"/>
  <c r="L120" i="1"/>
  <c r="M120" i="1"/>
  <c r="N120" i="1"/>
  <c r="K118" i="1"/>
  <c r="L118" i="1"/>
  <c r="M118" i="1"/>
  <c r="K115" i="1"/>
  <c r="K114" i="1" s="1"/>
  <c r="L115" i="1"/>
  <c r="L114" i="1" s="1"/>
  <c r="M115" i="1"/>
  <c r="M114" i="1" s="1"/>
  <c r="K111" i="1"/>
  <c r="L111" i="1"/>
  <c r="M111" i="1"/>
  <c r="O111" i="1" s="1"/>
  <c r="N111" i="1"/>
  <c r="K107" i="1"/>
  <c r="K106" i="1" s="1"/>
  <c r="L107" i="1"/>
  <c r="M107" i="1"/>
  <c r="M106" i="1" s="1"/>
  <c r="G111" i="1"/>
  <c r="G115" i="1"/>
  <c r="G114" i="1" s="1"/>
  <c r="G118" i="1"/>
  <c r="G120" i="1"/>
  <c r="G125" i="1"/>
  <c r="G124" i="1" s="1"/>
  <c r="G123" i="1" s="1"/>
  <c r="G131" i="1"/>
  <c r="G130" i="1" s="1"/>
  <c r="G129" i="1" s="1"/>
  <c r="L106" i="1"/>
  <c r="K104" i="1"/>
  <c r="L104" i="1"/>
  <c r="M104" i="1"/>
  <c r="K97" i="1"/>
  <c r="K96" i="1" s="1"/>
  <c r="L97" i="1"/>
  <c r="L96" i="1" s="1"/>
  <c r="M97" i="1"/>
  <c r="O97" i="1" s="1"/>
  <c r="N97" i="1"/>
  <c r="N96" i="1" s="1"/>
  <c r="K90" i="1"/>
  <c r="L90" i="1"/>
  <c r="M90" i="1"/>
  <c r="K82" i="1"/>
  <c r="L82" i="1"/>
  <c r="M82" i="1"/>
  <c r="O82" i="1" s="1"/>
  <c r="K77" i="1"/>
  <c r="L77" i="1"/>
  <c r="M77" i="1"/>
  <c r="N77" i="1"/>
  <c r="K72" i="1"/>
  <c r="K71" i="1" s="1"/>
  <c r="L72" i="1"/>
  <c r="L71" i="1" s="1"/>
  <c r="M72" i="1"/>
  <c r="M71" i="1" s="1"/>
  <c r="K68" i="1"/>
  <c r="L68" i="1"/>
  <c r="M68" i="1"/>
  <c r="G60" i="1"/>
  <c r="G54" i="1" s="1"/>
  <c r="K60" i="1"/>
  <c r="K54" i="1" s="1"/>
  <c r="L60" i="1"/>
  <c r="L54" i="1" s="1"/>
  <c r="M60" i="1"/>
  <c r="F54" i="1"/>
  <c r="K50" i="1"/>
  <c r="K48" i="1" s="1"/>
  <c r="L50" i="1"/>
  <c r="L48" i="1" s="1"/>
  <c r="M50" i="1"/>
  <c r="M48" i="1" s="1"/>
  <c r="N50" i="1"/>
  <c r="N48" i="1" s="1"/>
  <c r="G50" i="1"/>
  <c r="G48" i="1" s="1"/>
  <c r="F48" i="1"/>
  <c r="K42" i="1"/>
  <c r="K41" i="1" s="1"/>
  <c r="L42" i="1"/>
  <c r="L41" i="1" s="1"/>
  <c r="M42" i="1"/>
  <c r="M41" i="1" s="1"/>
  <c r="K39" i="1"/>
  <c r="L39" i="1"/>
  <c r="K37" i="1"/>
  <c r="L37" i="1"/>
  <c r="N37" i="1"/>
  <c r="K35" i="1"/>
  <c r="L35" i="1"/>
  <c r="K13" i="1"/>
  <c r="L13" i="1"/>
  <c r="K10" i="1"/>
  <c r="L10" i="1"/>
  <c r="N33" i="4"/>
  <c r="N30" i="4"/>
  <c r="N28" i="4"/>
  <c r="N26" i="4"/>
  <c r="N24" i="4"/>
  <c r="N20" i="4"/>
  <c r="N21" i="4"/>
  <c r="N19" i="4"/>
  <c r="N17" i="4"/>
  <c r="N13" i="4"/>
  <c r="N14" i="4"/>
  <c r="N11" i="4"/>
  <c r="K9" i="3"/>
  <c r="K8" i="3" s="1"/>
  <c r="K7" i="3" s="1"/>
  <c r="H14" i="3"/>
  <c r="H13" i="3" s="1"/>
  <c r="I14" i="3"/>
  <c r="I13" i="3" s="1"/>
  <c r="J14" i="3"/>
  <c r="J13" i="3" s="1"/>
  <c r="C15" i="3"/>
  <c r="H9" i="3"/>
  <c r="H8" i="3" s="1"/>
  <c r="I9" i="3"/>
  <c r="I8" i="3" s="1"/>
  <c r="I7" i="3" s="1"/>
  <c r="J9" i="3"/>
  <c r="J8" i="3" s="1"/>
  <c r="M33" i="4"/>
  <c r="M31" i="4" s="1"/>
  <c r="M30" i="4"/>
  <c r="M29" i="4" s="1"/>
  <c r="M28" i="4"/>
  <c r="M27" i="4" s="1"/>
  <c r="M20" i="4"/>
  <c r="M21" i="4"/>
  <c r="M19" i="4"/>
  <c r="M17" i="4"/>
  <c r="M14" i="4"/>
  <c r="M13" i="4"/>
  <c r="M11" i="4"/>
  <c r="J32" i="4"/>
  <c r="J31" i="4" s="1"/>
  <c r="K32" i="4"/>
  <c r="L32" i="4"/>
  <c r="L31" i="4" s="1"/>
  <c r="K31" i="4"/>
  <c r="J29" i="4"/>
  <c r="K29" i="4"/>
  <c r="L29" i="4"/>
  <c r="J27" i="4"/>
  <c r="K27" i="4"/>
  <c r="L27" i="4"/>
  <c r="J25" i="4"/>
  <c r="K25" i="4"/>
  <c r="L25" i="4"/>
  <c r="M25" i="4"/>
  <c r="J23" i="4"/>
  <c r="K23" i="4"/>
  <c r="K22" i="4" s="1"/>
  <c r="L23" i="4"/>
  <c r="M23" i="4"/>
  <c r="J18" i="4"/>
  <c r="J16" i="4" s="1"/>
  <c r="J15" i="4" s="1"/>
  <c r="K18" i="4"/>
  <c r="K16" i="4" s="1"/>
  <c r="K15" i="4" s="1"/>
  <c r="L18" i="4"/>
  <c r="L16" i="4" s="1"/>
  <c r="L15" i="4" s="1"/>
  <c r="K12" i="4"/>
  <c r="K10" i="4" s="1"/>
  <c r="K9" i="4" s="1"/>
  <c r="L12" i="4"/>
  <c r="N12" i="4" s="1"/>
  <c r="J10" i="4"/>
  <c r="J9" i="4" s="1"/>
  <c r="D24" i="4"/>
  <c r="F23" i="4"/>
  <c r="E23" i="4"/>
  <c r="D26" i="4"/>
  <c r="F25" i="4"/>
  <c r="D25" i="4" s="1"/>
  <c r="E25" i="4"/>
  <c r="F29" i="4"/>
  <c r="E29" i="4"/>
  <c r="N29" i="4" s="1"/>
  <c r="E27" i="4"/>
  <c r="F27" i="4"/>
  <c r="D28" i="4"/>
  <c r="D30" i="4"/>
  <c r="F32" i="4"/>
  <c r="F31" i="4" s="1"/>
  <c r="D31" i="4" s="1"/>
  <c r="D33" i="4"/>
  <c r="E16" i="4"/>
  <c r="E15" i="4" s="1"/>
  <c r="E10" i="4"/>
  <c r="E9" i="4" s="1"/>
  <c r="F18" i="4"/>
  <c r="F16" i="4" s="1"/>
  <c r="F15" i="4" s="1"/>
  <c r="F12" i="4"/>
  <c r="F10" i="4" s="1"/>
  <c r="F9" i="4" s="1"/>
  <c r="D23" i="4" l="1"/>
  <c r="D27" i="4"/>
  <c r="N27" i="4"/>
  <c r="L10" i="4"/>
  <c r="L9" i="4" s="1"/>
  <c r="M12" i="4"/>
  <c r="F22" i="4"/>
  <c r="N23" i="4"/>
  <c r="N25" i="4"/>
  <c r="F8" i="4"/>
  <c r="L117" i="1"/>
  <c r="L113" i="1" s="1"/>
  <c r="M96" i="1"/>
  <c r="O96" i="1" s="1"/>
  <c r="N82" i="1"/>
  <c r="M174" i="1"/>
  <c r="D29" i="4"/>
  <c r="P7" i="1"/>
  <c r="P222" i="1" s="1"/>
  <c r="N90" i="1"/>
  <c r="N76" i="1" s="1"/>
  <c r="M54" i="1"/>
  <c r="M45" i="1" s="1"/>
  <c r="O60" i="1"/>
  <c r="N68" i="1"/>
  <c r="M22" i="4"/>
  <c r="J22" i="4"/>
  <c r="E22" i="4"/>
  <c r="D22" i="4" s="1"/>
  <c r="K14" i="3"/>
  <c r="K13" i="3" s="1"/>
  <c r="K143" i="1"/>
  <c r="O143" i="1" s="1"/>
  <c r="O144" i="1"/>
  <c r="N154" i="1"/>
  <c r="N153" i="1" s="1"/>
  <c r="L140" i="1"/>
  <c r="L139" i="1" s="1"/>
  <c r="N125" i="1"/>
  <c r="N124" i="1" s="1"/>
  <c r="N123" i="1" s="1"/>
  <c r="N72" i="1"/>
  <c r="N71" i="1" s="1"/>
  <c r="O77" i="1"/>
  <c r="D32" i="4"/>
  <c r="E8" i="4"/>
  <c r="D16" i="4"/>
  <c r="M16" i="4" s="1"/>
  <c r="M18" i="4"/>
  <c r="N16" i="4"/>
  <c r="N18" i="4"/>
  <c r="D10" i="4"/>
  <c r="M9" i="4" s="1"/>
  <c r="O90" i="1"/>
  <c r="L76" i="1"/>
  <c r="K117" i="1"/>
  <c r="N54" i="1"/>
  <c r="N45" i="1" s="1"/>
  <c r="N44" i="1" s="1"/>
  <c r="O118" i="1"/>
  <c r="O120" i="1"/>
  <c r="N131" i="1"/>
  <c r="N130" i="1" s="1"/>
  <c r="N129" i="1" s="1"/>
  <c r="L9" i="1"/>
  <c r="K45" i="1"/>
  <c r="K44" i="1" s="1"/>
  <c r="M103" i="1"/>
  <c r="K103" i="1"/>
  <c r="N148" i="1"/>
  <c r="N107" i="1"/>
  <c r="N106" i="1" s="1"/>
  <c r="N103" i="1" s="1"/>
  <c r="G117" i="1"/>
  <c r="M117" i="1"/>
  <c r="M113" i="1" s="1"/>
  <c r="N174" i="1"/>
  <c r="N140" i="1"/>
  <c r="N117" i="1"/>
  <c r="M148" i="1"/>
  <c r="K148" i="1"/>
  <c r="M140" i="1"/>
  <c r="K140" i="1"/>
  <c r="K113" i="1"/>
  <c r="L103" i="1"/>
  <c r="M76" i="1"/>
  <c r="K76" i="1"/>
  <c r="L45" i="1"/>
  <c r="L44" i="1" s="1"/>
  <c r="K9" i="1"/>
  <c r="L22" i="4"/>
  <c r="J8" i="4"/>
  <c r="L8" i="4"/>
  <c r="K8" i="4"/>
  <c r="D9" i="4"/>
  <c r="N9" i="4" s="1"/>
  <c r="D15" i="4"/>
  <c r="N15" i="4" s="1"/>
  <c r="E15" i="1"/>
  <c r="E40" i="4" l="1"/>
  <c r="E7" i="4"/>
  <c r="K7" i="4"/>
  <c r="K40" i="4"/>
  <c r="J40" i="4"/>
  <c r="J7" i="4"/>
  <c r="D7" i="4"/>
  <c r="O140" i="1"/>
  <c r="L7" i="4"/>
  <c r="L40" i="4"/>
  <c r="D8" i="4"/>
  <c r="D40" i="4" s="1"/>
  <c r="N10" i="4"/>
  <c r="F40" i="4"/>
  <c r="R7" i="1"/>
  <c r="T7" i="1" s="1"/>
  <c r="N22" i="4"/>
  <c r="K139" i="1"/>
  <c r="M8" i="4"/>
  <c r="M40" i="4" s="1"/>
  <c r="N139" i="1"/>
  <c r="O117" i="1"/>
  <c r="O76" i="1"/>
  <c r="L8" i="1"/>
  <c r="M139" i="1"/>
  <c r="N113" i="1"/>
  <c r="M44" i="1"/>
  <c r="M8" i="1" s="1"/>
  <c r="K8" i="1"/>
  <c r="M7" i="4" l="1"/>
  <c r="N227" i="1"/>
  <c r="N7" i="4"/>
  <c r="N40" i="4"/>
  <c r="F90" i="1"/>
  <c r="G67" i="5"/>
  <c r="G68" i="5"/>
  <c r="G69" i="5"/>
  <c r="G70" i="5"/>
  <c r="G71" i="5"/>
  <c r="G66" i="5"/>
  <c r="G53" i="5"/>
  <c r="F52" i="5"/>
  <c r="G52" i="5"/>
  <c r="G40" i="5"/>
  <c r="G38" i="5"/>
  <c r="G39" i="5"/>
  <c r="G32" i="5"/>
  <c r="G33" i="5"/>
  <c r="G34" i="5"/>
  <c r="G35" i="5"/>
  <c r="G36" i="5"/>
  <c r="G31" i="5"/>
  <c r="G24" i="5"/>
  <c r="G25" i="5"/>
  <c r="G26" i="5"/>
  <c r="G27" i="5"/>
  <c r="G28" i="5"/>
  <c r="G29" i="5"/>
  <c r="G23" i="5"/>
  <c r="G20" i="5"/>
  <c r="G16" i="5"/>
  <c r="G17" i="5"/>
  <c r="G18" i="5"/>
  <c r="F14" i="5"/>
  <c r="F13" i="5" s="1"/>
  <c r="G15" i="5"/>
  <c r="G9" i="5"/>
  <c r="G10" i="5"/>
  <c r="G11" i="5"/>
  <c r="G12" i="5"/>
  <c r="G8" i="5"/>
  <c r="G14" i="5" l="1"/>
  <c r="G13" i="5" s="1"/>
  <c r="I40" i="5"/>
  <c r="I39" i="5"/>
  <c r="I67" i="5"/>
  <c r="I68" i="5"/>
  <c r="I69" i="5"/>
  <c r="I70" i="5"/>
  <c r="I71" i="5"/>
  <c r="I66" i="5"/>
  <c r="I53" i="5"/>
  <c r="I38" i="5"/>
  <c r="I32" i="5"/>
  <c r="I33" i="5"/>
  <c r="I34" i="5"/>
  <c r="I35" i="5"/>
  <c r="I36" i="5"/>
  <c r="I31" i="5"/>
  <c r="I29" i="5"/>
  <c r="I24" i="5"/>
  <c r="I25" i="5"/>
  <c r="I26" i="5"/>
  <c r="I27" i="5"/>
  <c r="I28" i="5"/>
  <c r="I23" i="5"/>
  <c r="I20" i="5"/>
  <c r="I16" i="5"/>
  <c r="I17" i="5"/>
  <c r="I18" i="5"/>
  <c r="I15" i="5"/>
  <c r="I9" i="5"/>
  <c r="I10" i="5"/>
  <c r="I11" i="5"/>
  <c r="I12" i="5"/>
  <c r="I8" i="5"/>
  <c r="E13" i="5"/>
  <c r="I13" i="5" s="1"/>
  <c r="F65" i="5"/>
  <c r="G65" i="5"/>
  <c r="G64" i="5" s="1"/>
  <c r="E65" i="5"/>
  <c r="E64" i="5" s="1"/>
  <c r="E52" i="5"/>
  <c r="I52" i="5" s="1"/>
  <c r="F30" i="5"/>
  <c r="G30" i="5"/>
  <c r="E30" i="5"/>
  <c r="F22" i="5"/>
  <c r="G22" i="5"/>
  <c r="E22" i="5"/>
  <c r="E21" i="5" s="1"/>
  <c r="F19" i="5"/>
  <c r="G19" i="5"/>
  <c r="E19" i="5"/>
  <c r="E14" i="5"/>
  <c r="I14" i="5" s="1"/>
  <c r="F7" i="5"/>
  <c r="F6" i="5" s="1"/>
  <c r="G7" i="5"/>
  <c r="G6" i="5" s="1"/>
  <c r="E6" i="5"/>
  <c r="E7" i="5"/>
  <c r="I65" i="5" l="1"/>
  <c r="F21" i="5"/>
  <c r="F64" i="5"/>
  <c r="I64" i="5" s="1"/>
  <c r="I22" i="5"/>
  <c r="I19" i="5"/>
  <c r="I30" i="5"/>
  <c r="G21" i="5"/>
  <c r="G72" i="5" s="1"/>
  <c r="I6" i="5"/>
  <c r="I7" i="5"/>
  <c r="E72" i="5"/>
  <c r="G177" i="1"/>
  <c r="O177" i="1" s="1"/>
  <c r="G175" i="1"/>
  <c r="F175" i="1"/>
  <c r="G154" i="1"/>
  <c r="G151" i="1"/>
  <c r="O151" i="1" s="1"/>
  <c r="F151" i="1"/>
  <c r="G149" i="1"/>
  <c r="O149" i="1" s="1"/>
  <c r="F149" i="1"/>
  <c r="G144" i="1"/>
  <c r="F144" i="1"/>
  <c r="F143" i="1" s="1"/>
  <c r="G141" i="1"/>
  <c r="F141" i="1"/>
  <c r="G137" i="1"/>
  <c r="F137" i="1"/>
  <c r="F136" i="1" s="1"/>
  <c r="F131" i="1"/>
  <c r="F130" i="1" s="1"/>
  <c r="E126" i="1"/>
  <c r="F125" i="1"/>
  <c r="E125" i="1" s="1"/>
  <c r="O125" i="1" s="1"/>
  <c r="F120" i="1"/>
  <c r="E120" i="1" s="1"/>
  <c r="F118" i="1"/>
  <c r="E118" i="1" s="1"/>
  <c r="F115" i="1"/>
  <c r="F114" i="1" s="1"/>
  <c r="F107" i="1"/>
  <c r="F106" i="1" s="1"/>
  <c r="G107" i="1"/>
  <c r="G106" i="1" s="1"/>
  <c r="G104" i="1"/>
  <c r="O104" i="1" s="1"/>
  <c r="F104" i="1"/>
  <c r="G96" i="1"/>
  <c r="G97" i="1"/>
  <c r="F97" i="1"/>
  <c r="F96" i="1" s="1"/>
  <c r="G90" i="1"/>
  <c r="E95" i="1"/>
  <c r="G82" i="1"/>
  <c r="F82" i="1"/>
  <c r="G77" i="1"/>
  <c r="G76" i="1" s="1"/>
  <c r="F77" i="1"/>
  <c r="G72" i="1"/>
  <c r="F72" i="1"/>
  <c r="F71" i="1" s="1"/>
  <c r="G71" i="1"/>
  <c r="G45" i="1"/>
  <c r="E54" i="1"/>
  <c r="O54" i="1" s="1"/>
  <c r="E48" i="1"/>
  <c r="O48" i="1" s="1"/>
  <c r="G39" i="1"/>
  <c r="O39" i="1" s="1"/>
  <c r="G37" i="1"/>
  <c r="O37" i="1" s="1"/>
  <c r="G35" i="1"/>
  <c r="G10" i="1"/>
  <c r="F10" i="1"/>
  <c r="E178" i="1"/>
  <c r="E176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55" i="1"/>
  <c r="E152" i="1"/>
  <c r="E150" i="1"/>
  <c r="E146" i="1"/>
  <c r="E147" i="1"/>
  <c r="E145" i="1"/>
  <c r="E142" i="1"/>
  <c r="E138" i="1"/>
  <c r="E134" i="1"/>
  <c r="E135" i="1"/>
  <c r="E128" i="1"/>
  <c r="E127" i="1"/>
  <c r="E122" i="1"/>
  <c r="E121" i="1"/>
  <c r="E119" i="1"/>
  <c r="E116" i="1"/>
  <c r="E112" i="1"/>
  <c r="E110" i="1"/>
  <c r="E109" i="1"/>
  <c r="E105" i="1"/>
  <c r="E99" i="1"/>
  <c r="E100" i="1"/>
  <c r="E101" i="1"/>
  <c r="E102" i="1"/>
  <c r="E98" i="1"/>
  <c r="E92" i="1"/>
  <c r="E93" i="1"/>
  <c r="E94" i="1"/>
  <c r="E91" i="1"/>
  <c r="E84" i="1"/>
  <c r="E85" i="1"/>
  <c r="E86" i="1"/>
  <c r="E87" i="1"/>
  <c r="E88" i="1"/>
  <c r="E89" i="1"/>
  <c r="E83" i="1"/>
  <c r="E79" i="1"/>
  <c r="E80" i="1"/>
  <c r="E81" i="1"/>
  <c r="E78" i="1"/>
  <c r="E74" i="1"/>
  <c r="E75" i="1"/>
  <c r="E73" i="1"/>
  <c r="E70" i="1"/>
  <c r="E69" i="1"/>
  <c r="E67" i="1"/>
  <c r="E62" i="1"/>
  <c r="E63" i="1"/>
  <c r="E65" i="1"/>
  <c r="E66" i="1"/>
  <c r="E61" i="1"/>
  <c r="E53" i="1"/>
  <c r="E52" i="1"/>
  <c r="E51" i="1"/>
  <c r="E47" i="1"/>
  <c r="E46" i="1"/>
  <c r="E43" i="1"/>
  <c r="E40" i="1"/>
  <c r="E38" i="1"/>
  <c r="E36" i="1"/>
  <c r="E34" i="1"/>
  <c r="E33" i="1"/>
  <c r="E32" i="1"/>
  <c r="E31" i="1"/>
  <c r="E30" i="1"/>
  <c r="E29" i="1"/>
  <c r="E28" i="1"/>
  <c r="E20" i="1"/>
  <c r="E19" i="1"/>
  <c r="E18" i="1"/>
  <c r="E17" i="1"/>
  <c r="E16" i="1"/>
  <c r="E14" i="1"/>
  <c r="E12" i="1"/>
  <c r="E11" i="1"/>
  <c r="E71" i="1" l="1"/>
  <c r="F72" i="5"/>
  <c r="M202" i="1" s="1"/>
  <c r="I21" i="5"/>
  <c r="F76" i="1"/>
  <c r="R78" i="1" s="1"/>
  <c r="R79" i="1" s="1"/>
  <c r="E151" i="1"/>
  <c r="E104" i="1"/>
  <c r="F140" i="1"/>
  <c r="E144" i="1"/>
  <c r="E72" i="1"/>
  <c r="G136" i="1"/>
  <c r="O137" i="1"/>
  <c r="G153" i="1"/>
  <c r="O153" i="1" s="1"/>
  <c r="O154" i="1"/>
  <c r="G174" i="1"/>
  <c r="O174" i="1" s="1"/>
  <c r="O175" i="1"/>
  <c r="E82" i="1"/>
  <c r="E137" i="1"/>
  <c r="E141" i="1"/>
  <c r="E149" i="1"/>
  <c r="E106" i="1"/>
  <c r="O106" i="1" s="1"/>
  <c r="E10" i="1"/>
  <c r="E107" i="1"/>
  <c r="E115" i="1"/>
  <c r="E136" i="1"/>
  <c r="E175" i="1"/>
  <c r="F117" i="1"/>
  <c r="E131" i="1"/>
  <c r="O131" i="1" s="1"/>
  <c r="E97" i="1"/>
  <c r="E90" i="1"/>
  <c r="E77" i="1"/>
  <c r="G143" i="1"/>
  <c r="D14" i="3"/>
  <c r="D13" i="3" s="1"/>
  <c r="C14" i="3"/>
  <c r="C13" i="3" s="1"/>
  <c r="D9" i="3"/>
  <c r="D8" i="3" s="1"/>
  <c r="D7" i="3" s="1"/>
  <c r="C9" i="3"/>
  <c r="C8" i="3" s="1"/>
  <c r="F177" i="1"/>
  <c r="F174" i="1" s="1"/>
  <c r="F154" i="1"/>
  <c r="F153" i="1" s="1"/>
  <c r="F124" i="1"/>
  <c r="F123" i="1" s="1"/>
  <c r="E114" i="1"/>
  <c r="F111" i="1"/>
  <c r="F103" i="1" s="1"/>
  <c r="G103" i="1"/>
  <c r="F68" i="1"/>
  <c r="G68" i="1"/>
  <c r="O68" i="1" s="1"/>
  <c r="E68" i="1"/>
  <c r="F45" i="1"/>
  <c r="F42" i="1"/>
  <c r="G42" i="1"/>
  <c r="F39" i="1"/>
  <c r="E39" i="1" s="1"/>
  <c r="F37" i="1"/>
  <c r="E37" i="1" s="1"/>
  <c r="F35" i="1"/>
  <c r="E35" i="1" s="1"/>
  <c r="F13" i="1"/>
  <c r="E13" i="1" s="1"/>
  <c r="R9" i="1" l="1"/>
  <c r="M7" i="1"/>
  <c r="M222" i="1"/>
  <c r="L34" i="3"/>
  <c r="E153" i="1"/>
  <c r="E76" i="1"/>
  <c r="N202" i="1"/>
  <c r="C7" i="3"/>
  <c r="I72" i="5"/>
  <c r="O202" i="1"/>
  <c r="G41" i="1"/>
  <c r="O41" i="1" s="1"/>
  <c r="O42" i="1"/>
  <c r="E103" i="1"/>
  <c r="O103" i="1" s="1"/>
  <c r="G9" i="1"/>
  <c r="O136" i="1"/>
  <c r="G113" i="1"/>
  <c r="E174" i="1"/>
  <c r="E154" i="1"/>
  <c r="E177" i="1"/>
  <c r="F9" i="1"/>
  <c r="E9" i="1" s="1"/>
  <c r="E111" i="1"/>
  <c r="G140" i="1"/>
  <c r="E143" i="1"/>
  <c r="F129" i="1"/>
  <c r="E129" i="1" s="1"/>
  <c r="O129" i="1" s="1"/>
  <c r="E130" i="1"/>
  <c r="O130" i="1" s="1"/>
  <c r="E124" i="1"/>
  <c r="O124" i="1" s="1"/>
  <c r="E96" i="1"/>
  <c r="F41" i="1"/>
  <c r="E42" i="1"/>
  <c r="E45" i="1"/>
  <c r="O45" i="1" s="1"/>
  <c r="F148" i="1"/>
  <c r="F139" i="1" s="1"/>
  <c r="E117" i="1"/>
  <c r="G148" i="1"/>
  <c r="O148" i="1" s="1"/>
  <c r="F44" i="1"/>
  <c r="G44" i="1"/>
  <c r="G8" i="1" l="1"/>
  <c r="F113" i="1"/>
  <c r="E44" i="1"/>
  <c r="O44" i="1" s="1"/>
  <c r="E148" i="1"/>
  <c r="E123" i="1"/>
  <c r="O123" i="1" s="1"/>
  <c r="G139" i="1"/>
  <c r="E139" i="1" s="1"/>
  <c r="O139" i="1" s="1"/>
  <c r="E140" i="1"/>
  <c r="E41" i="1"/>
  <c r="F8" i="1"/>
  <c r="F222" i="1" l="1"/>
  <c r="F7" i="1"/>
  <c r="U7" i="1" s="1"/>
  <c r="S7" i="1"/>
  <c r="S9" i="1"/>
  <c r="E113" i="1"/>
  <c r="O113" i="1" s="1"/>
  <c r="E8" i="1"/>
  <c r="E222" i="1" s="1"/>
  <c r="E7" i="1" l="1"/>
  <c r="R80" i="1" s="1"/>
  <c r="O9" i="1"/>
  <c r="O13" i="1"/>
  <c r="O10" i="1"/>
  <c r="N12" i="1"/>
  <c r="O12" i="1"/>
  <c r="O8" i="1"/>
  <c r="R98" i="1"/>
  <c r="S98" i="1" s="1"/>
  <c r="O14" i="1"/>
  <c r="N14" i="1"/>
  <c r="N13" i="1" s="1"/>
  <c r="N10" i="1"/>
  <c r="O222" i="1" l="1"/>
  <c r="N9" i="1"/>
  <c r="O7" i="1"/>
  <c r="N8" i="1" l="1"/>
  <c r="N7" i="1" l="1"/>
  <c r="L227" i="1" s="1"/>
  <c r="N222" i="1"/>
</calcChain>
</file>

<file path=xl/sharedStrings.xml><?xml version="1.0" encoding="utf-8"?>
<sst xmlns="http://schemas.openxmlformats.org/spreadsheetml/2006/main" count="1140" uniqueCount="605">
  <si>
    <t>โครงการ/กิจกรรม</t>
  </si>
  <si>
    <t>งบประมาณที่ได้รับจัดสรร (บาท)</t>
  </si>
  <si>
    <t>หน่วยงาน
ดำเนินการ</t>
  </si>
  <si>
    <t>รวม</t>
  </si>
  <si>
    <t>งบลงทุน</t>
  </si>
  <si>
    <t>งบดำเนินงาน</t>
  </si>
  <si>
    <t>งบพัฒนาจังหวัดอ่างทอง ประจำปีงบประมาณ พ.ศ.2561</t>
  </si>
  <si>
    <t>ประเด็นยุทธศาสตร์ที่ 1 พัฒนาเมืองน่าอยู่ สู่สังคมมั่นคง และเป็นสุข</t>
  </si>
  <si>
    <t>ตำรวจภูธรจังหวัด</t>
  </si>
  <si>
    <t>ที่ทำการปกครองจังหวัด</t>
  </si>
  <si>
    <t>สถานพินิจและคุ้มครองเด็กและเยาวชนจังหวัด</t>
  </si>
  <si>
    <t>ศอ.ปส.จังหวัด</t>
  </si>
  <si>
    <t>สนง.จัดหางานจังหวัด</t>
  </si>
  <si>
    <t>สนง.ประกันสังคม
จังหวัด</t>
  </si>
  <si>
    <t>สนง.เกษตรและสหกรณ์จังหวัด</t>
  </si>
  <si>
    <t xml:space="preserve"> - อาคารเก็บผลิตภัณฑ์</t>
  </si>
  <si>
    <t xml:space="preserve"> - ต่อเติมอาคารโรงสีข้าว</t>
  </si>
  <si>
    <t xml:space="preserve"> - ลานอเนประสงค์</t>
  </si>
  <si>
    <t xml:space="preserve"> - ก่อสร้างศาลาดอกเห็ด</t>
  </si>
  <si>
    <t xml:space="preserve"> - แพลอยน้ำ</t>
  </si>
  <si>
    <t xml:space="preserve"> - ถังแชมเปญ</t>
  </si>
  <si>
    <t>สนง.ประมงจังหวัด</t>
  </si>
  <si>
    <t>สนง.พัฒนาชุมชนจังหวัด</t>
  </si>
  <si>
    <t>สนง.สาธารณสุขจังหวัด</t>
  </si>
  <si>
    <t>อำเภอไชโย</t>
  </si>
  <si>
    <t>อำเภอเมืองอ่างทอง</t>
  </si>
  <si>
    <t>อำเภอวิเศษชัยชาญ</t>
  </si>
  <si>
    <t>อำเภอแสวงหา</t>
  </si>
  <si>
    <t>อำเภอโพธิ์ทอง</t>
  </si>
  <si>
    <t>โครงการชลประทานอ่างทอง</t>
  </si>
  <si>
    <t xml:space="preserve"> - ระบบบำบัดน้ำเสีย</t>
  </si>
  <si>
    <t>สนง.โยธาธิการและผังเมืองจังหวัด</t>
  </si>
  <si>
    <t>ประเด็นยุทธศาสตร์ที่ 2 พัฒนาผลิตภัณฑ์สู่มาตรฐานสากล</t>
  </si>
  <si>
    <t>1. โครงการวิจัยและพัฒนา (R&amp;D) กรอบแนวคิดและการสร้างองค์ความรู้</t>
  </si>
  <si>
    <t>1.1 สร้างองค์ความรู้ทางเทคโนโลยี และนวัตกรรมแก่เกษตรกร/ผู้ประกอบการตามหลักวิชาการ</t>
  </si>
  <si>
    <t>1.1.1 พัฒนาศักยภาพผู้ประกอบอาหารรองรับครัวไทยสู่ครัวโลก</t>
  </si>
  <si>
    <t>2. โครงการพัฒนาศักยภาพและเพิ่มขีดความสามารถให้แก่เกษตรกร/ผู้ประกอบการ</t>
  </si>
  <si>
    <t>2.1 พัฒนาศักยภาพของเกษตรกร</t>
  </si>
  <si>
    <t>2.1.1 พัฒนาศักยภาพเกษตรต้นแบบ (Smart farmer / อกม เกษตรกรและเจ้าหน้าที่)</t>
  </si>
  <si>
    <t>สนง.เกษตรจังหวัด</t>
  </si>
  <si>
    <t>2.2 พัฒนาศักยภาพของผู้ประกอบการ</t>
  </si>
  <si>
    <t>2.2.1 ยกระดับผลิตภัณฑ์ชุมชนสู่มาตราฐานสากล</t>
  </si>
  <si>
    <t>2.2.2 จัดแสดงและจำหน่ายสินค้าหนึ่งตำบลหนึ่งผลิตภัณฑ์ (OTOP Angthong to Asean)</t>
  </si>
  <si>
    <t>3. โครงการส่งเสริมและสนับสนุนการผลิตอาหารปลอดภัยและผลิตภัณฑ์ชุมชน</t>
  </si>
  <si>
    <t>3.1 พัฒนากระบวนการผลิตและแปรรูปสินค้าเกษตรให้ได้มาตรฐาน</t>
  </si>
  <si>
    <t xml:space="preserve"> - โรงเรือนคัดบรรจุผลผลิต</t>
  </si>
  <si>
    <t>4. โครงการยกระดับมาตรฐานผลิตภัณฑ์</t>
  </si>
  <si>
    <t xml:space="preserve">4.1พัฒนาผลิตภัณฑ์ชุมชนและท้องถิ่นสู่มาตรฐานสากล   </t>
  </si>
  <si>
    <t>4.1.1 ส่งเสริมการผลิตอาหารปลอดภัย (การผลิตผักในโรงเรือนระบบปิด) โครงการต่อเนื่อง</t>
  </si>
  <si>
    <t>4.1.2 ปรับโครงสร้างระบบการผลิตสินค้าเกษตรในพื้นที่แปลงใหญ่ (ข้าว, มะม่วง)</t>
  </si>
  <si>
    <t>4.1.3 พัฒนาศักยภาพด้านการผลิตการรักษาคุณภาพ และการพัฒนารูปแบบบรรจุภัณฑ์ให้แก่ผู้ผลิตและท้องถิ่น</t>
  </si>
  <si>
    <t>สนง.อุตสาหกรรมจังหวัด</t>
  </si>
  <si>
    <t>5. โครงการส่งเสริมการตลาดเชิงรุก</t>
  </si>
  <si>
    <t>สนง.พาณิชย์จังหวัด</t>
  </si>
  <si>
    <t>ประเด็นยุทธศาสตร์ที่ 3 ส่งเสริมการท่องเที่ยวเชิงวัฒนธรรม</t>
  </si>
  <si>
    <t>1 โครงการพัฒนาปัจจัยพื้นฐานด้านการท่องเที่ยวและบริการ</t>
  </si>
  <si>
    <t>1.1 พัฒนาปัจจัยสับสนุนภาคการท่องเที่ยวและบริการ</t>
  </si>
  <si>
    <t>สนง.การท่องเที่ยว
และกีฬาจังหวัด</t>
  </si>
  <si>
    <t>1.2 พัฒนา/ ปรับปรุง/ อนุรักษ์/ ฟื้นฟู แหล่งท่องเที่ยว</t>
  </si>
  <si>
    <t xml:space="preserve"> - ปรับปรุงป้ายประชาสัมพันธ์</t>
  </si>
  <si>
    <t>1.2.2 พัฒนา ปรับปรุง ฟื้นฟู แหล่งท่องเที่ยว</t>
  </si>
  <si>
    <t>2. โครงการพัฒนาระบบบริหารจัดการและการมีส่วนร่วมด้านการท่องเที่ยว</t>
  </si>
  <si>
    <t>2.1 เสริมสร้างการมีส่วนร่วมในการดูแลรักษาแหล่งท่องเที่ยว</t>
  </si>
  <si>
    <t>2.1.1 เสริมสร้างการมีส่วนร่วมในการดูแลรักษาแหล่งท่องเที่ยว</t>
  </si>
  <si>
    <t xml:space="preserve">2.2 พัฒนาระบบสารสนเทศด้านการท่องเที่ยว </t>
  </si>
  <si>
    <t>2.2.1 พัฒนาระบบสารสนเทศด้านการท่องเที่ยว</t>
  </si>
  <si>
    <t>3. โครงการส่งเสริมกิจกรรมการท่องเที่ยว</t>
  </si>
  <si>
    <t>3.1 จัดกิจกรรมและพัฒนาผลิตภัณฑ์เพื่อส่งเสริมการท่องเที่ยวเชิงวัฒนธรรม</t>
  </si>
  <si>
    <t>3.1.1 สืบสานศิลปะการแสดงพื้นบ้าน "โขนสด"</t>
  </si>
  <si>
    <t>สนง.วัฒนธรรมจังหวัด</t>
  </si>
  <si>
    <t>3.1.2 ถ่ายทอดศิลปะ การแสดงละครชาตรี</t>
  </si>
  <si>
    <t xml:space="preserve">3.1.5 งานรำลึกสมเด็จพระนเรศวรมหาราช  </t>
  </si>
  <si>
    <t xml:space="preserve">3.1.6 งานรำลึกวีรชนแขวงเมืองวิเศษไชยชาญ </t>
  </si>
  <si>
    <t xml:space="preserve">3.1.7 งานสดุดีวีรชนคนแสวงหา </t>
  </si>
  <si>
    <t xml:space="preserve">3.1.9 งานสดุดีวีรชนพันท้ายนรสิงห์ </t>
  </si>
  <si>
    <t xml:space="preserve">3.1.12 งานแข่งขันเรือพาย </t>
  </si>
  <si>
    <t xml:space="preserve">3.1.13 งานเกษตรและของดีเมืองอ่างทอง </t>
  </si>
  <si>
    <t>3.1.14 งานมหกรรมลิเก</t>
  </si>
  <si>
    <t>3.1.15 งานมหกรรมกลองนานาชาติ</t>
  </si>
  <si>
    <t>3.1.16 งานเทศกาลไหว้พระนอนวัดขุนอินทประมูล</t>
  </si>
  <si>
    <t>3.1.17 งานรำลึกประพาสต้นล้นเกล้า รัชกาลที่ 5</t>
  </si>
  <si>
    <t>3.1.18 งานรำลึกรัชกาลที่ 9</t>
  </si>
  <si>
    <t>ค่าใช้จ่ายในการบริหารงานจังหวัด/กลุ่มจังหวัดแบบบูรณาการ</t>
  </si>
  <si>
    <t>รวมทั้งสิ้น</t>
  </si>
  <si>
    <t>3.1.8 งานรำลึกวีรชนคนถูกลืม ขุนรองปลัดชู</t>
  </si>
  <si>
    <t>3.1.3 งานอนุรักษ์มรดกไทย เฉลิมพระเกียรติสมเด็จพระเทพรัตนราชสุดาฯ สยามบรมราชกุมารี</t>
  </si>
  <si>
    <t>3.1.4 งานรำลึกสมเด็จพระพุฒาจารย์ (โต พรหมรังสี)</t>
  </si>
  <si>
    <t>3.1.10 งานเทศกาลกินผัดไทย ไหว้พระสมเด็จเกษไชโย</t>
  </si>
  <si>
    <t>สนง.ทรัพยากร
ธรรมชาติและสิ่งแวดล้อมจังหวัด</t>
  </si>
  <si>
    <t>ที่</t>
  </si>
  <si>
    <t>โครงการ</t>
  </si>
  <si>
    <t>หน่วยดำเนินงาน</t>
  </si>
  <si>
    <t>แนวทางที่ 2 เกษตร</t>
  </si>
  <si>
    <t>ด้าน : เกษตรแปลงใหญ่</t>
  </si>
  <si>
    <t>โครงสร้างพื้นฐานเพื่อสนับสนุนการผลิต</t>
  </si>
  <si>
    <t>โครงการแก้มลิงคลองบ้านใหม่</t>
  </si>
  <si>
    <t xml:space="preserve">แนวทางที่ 4.1 สังคม คุณภาพชีวิต </t>
  </si>
  <si>
    <t>ด้าน : การพัฒนาโครงสร้างพื้นฐานเพื่อความมั่นคงในชีวิต</t>
  </si>
  <si>
    <t xml:space="preserve"> พัฒนาคุณภาพชีวิตด้านสาธารณสุขแก่ผู้สูงอายุ จังหวัดอ่างทอง</t>
  </si>
  <si>
    <t>สำนักงานสาธารณสุขจังหวัดอ่างทอง</t>
  </si>
  <si>
    <t xml:space="preserve"> - เตียงผู้ป่วยปรับระดับได้ จำนวน 166 เตียง</t>
  </si>
  <si>
    <t xml:space="preserve"> - รถเข็นนั่ง จำนวน 830 คัน</t>
  </si>
  <si>
    <t>งบประมาณรวม</t>
  </si>
  <si>
    <t>ชื่อโครงการ/กิจกรรม</t>
  </si>
  <si>
    <t>ประเด็นยุทธศาสตร์ที่ 1 พัฒนาการตลาด ระบบ Logistics และการผลิตอาหารปลอดภัย</t>
  </si>
  <si>
    <t>สำนักงานพลังงาน
จังหวัดอ่างทอง</t>
  </si>
  <si>
    <t>โครงการส่งเสริมพลังงานทดแทนและการอนุรักษ์พลังงานแก่ชุมชน OTOP/วิสาหกิจชุมชน/กลุ่มเกษตรกร</t>
  </si>
  <si>
    <t>โครงการพัฒนาแหล่งท่องเที่ยววิถีไทยลุ่มเจ้าพระยา-ป่าสัก</t>
  </si>
  <si>
    <t>โครงการพัฒนาเศรษฐกิจสร้างสรรค์เพื่อเพิ่มมูลค่าด้านการท่องเที่ยว</t>
  </si>
  <si>
    <t>ประเด็นยุทธศาสตร์ที่ 3 การบริหารจัดการน้ำแบบบูรณาการ</t>
  </si>
  <si>
    <t>โครงการป้องกันแก้ไขปัญหาคุณภาพน้ำในแม่น้ำสายหลัก</t>
  </si>
  <si>
    <t>สนง.การท่องเที่ยวและกีฬาจังหวัด</t>
  </si>
  <si>
    <t>1 โครงการเสริมสร้างความปลอดภัยในชีวิตและทรัพย์สิน</t>
  </si>
  <si>
    <t>1.1 รักษาความมั่นคงภายใน</t>
  </si>
  <si>
    <t>1.2 ป้องกันและแก้ไขปัญหายาเสพติด</t>
  </si>
  <si>
    <t>1.2.1 No Place For Drug</t>
  </si>
  <si>
    <t>1.2.3 ค่ายพัฒนาคุณธรรม</t>
  </si>
  <si>
    <t>1.2.4 ค่ายทักษะชีวิต</t>
  </si>
  <si>
    <t>1.2.5 ประกวดแข่งขัน To Be Number One</t>
  </si>
  <si>
    <t>1.2.6 มหกรรมรวมพลสมาชิกชมรม To Be Number One จังหวัดอ่างทอง</t>
  </si>
  <si>
    <t>1.2.7 ขับเคลื่อนชมรม To Be Number One</t>
  </si>
  <si>
    <t>1.2.9 ค่ายปรับเปลี่ยนพฤติกรรม (ศูนย์ขวัญแผ่นดิน)</t>
  </si>
  <si>
    <t>1.2.12 พัฒนาศักยภาพด้านการบำบัดรักษาและฟื้นฟูสมรรถภาพและติดตามผู้ผ่านการบำบัดรักษา</t>
  </si>
  <si>
    <t>1.2.11 ป้องกันและแก้ไขปัญหายาเสพติดในสถานประกอบการ</t>
  </si>
  <si>
    <t>1.3 ป้องกันและแก้ไขปัญหาอาชญกรรม</t>
  </si>
  <si>
    <t>1.4 ป้องกันและแก้ไขปัญหาอุบัติเหตุจราจร</t>
  </si>
  <si>
    <t>1.5 ป้องกันและแก้ไขปัญหาการค้ามนุษย์</t>
  </si>
  <si>
    <t>1.3.1 พัฒนาศักยภาพอาสาสมัครตำรวจบ้าน</t>
  </si>
  <si>
    <t>1.4.1 พัฒนาศักยภาพอาสาสมัครจราจร</t>
  </si>
  <si>
    <t>1.5.1 จัดระเบียบสังคม</t>
  </si>
  <si>
    <t>2 โครงการส่งเสริมความเข้มแข็งของครอบครัว และชุมชน</t>
  </si>
  <si>
    <t>2.1ส่งเสริมและพัฒนาศักยภาพเด็กเยาวชน สตรี ผู้สูงอายุ และคนพิการ</t>
  </si>
  <si>
    <t>2.1.1 ส่งเสริมการประกอบอาชีพแก่ผู้สูงอายุ</t>
  </si>
  <si>
    <t>3 โครงการส่งเสริมอาชีพ สร้างโอกาส สร้างรายได้ ของประชาชน</t>
  </si>
  <si>
    <t>3.1 ส่งเสริมคุณภาพชีวิตตามแนวพระราชดำริ</t>
  </si>
  <si>
    <t>3.1.1 ขยายความคุ้มครองหลักประกันสังคมและส่งเสริมด้านอาชีวอนามัยและความปลอดภัยในการทำงานแก่แรงงานนอกระบบ</t>
  </si>
  <si>
    <t>3.1.2 พัฒนาทักษะและฝึกทักษะและฝึกอบรมด้านอาชีพให้แก่ประชาชน จำนวน 100 คน</t>
  </si>
  <si>
    <t>3.2 พอเพียงเพื่อพ่อ</t>
  </si>
  <si>
    <t>3.1.6 ส่งเสริมการเลี้ยงปลาสวยงามตามรอยเท้าพ่อ</t>
  </si>
  <si>
    <t>3.2.1 ขยายผลการพัฒนาหมู่บ้านเศรษฐกิจพอเพียง</t>
  </si>
  <si>
    <t>4 โครงการส่งเสริมการมีสุขภาวะที่ดีของประชาชน</t>
  </si>
  <si>
    <t>4.1 ส่งเสริมสุขภาพและอนามัยของประชาชน</t>
  </si>
  <si>
    <t>4.1.1 ส่งเสริมพัฒนาคุณภาพชีวิตที่ดีให้แก่แรงงานนอกระบบ (กลุ่มแรงงานภาคเกษตรและผู้รับงานไปทำที่บ้าน)</t>
  </si>
  <si>
    <t>4.1.2 ส่งเสริมการมีสุขภาวะที่ดีของประชาชน</t>
  </si>
  <si>
    <t>4.1.3 พัฒนาสุขาภิบาลอาหาร</t>
  </si>
  <si>
    <t>5 โครงการปรับปรุงและพัฒนาโครงสร้างพื้นฐาน</t>
  </si>
  <si>
    <t xml:space="preserve">5.1 ก่อสร้างและปรับปรุงเส้นทางคมนาคม </t>
  </si>
  <si>
    <t>5.2 ก่อสร้างและปรับปรุงระบบสาธารณูปโภคขั้นพื้นฐาน (ไฟฟ้า,ประปา)</t>
  </si>
  <si>
    <t>5.3 ก่อสร้างและปรับปรุงสะพาน</t>
  </si>
  <si>
    <t>6  โครงการบริหารจัดการน้ำแบบบูรณาการ</t>
  </si>
  <si>
    <t>6.1 พัฒนาและปรับปรุงแหล่งน้ำ</t>
  </si>
  <si>
    <t>6.1.4 ปรับปรุงห้วยงู พร้อมอาคารประกอบ ตำบลป่างิ้ว อำเภอเมืองอ่างทอง จังหวัดอ่างทอง</t>
  </si>
  <si>
    <t>7. โครงการรักษาสมดุลธรรมชาติสิ่งแวดล้อมและพลังงาน</t>
  </si>
  <si>
    <t>7.1 บริหารจัดการขยะและของเสียอันตรายอย่างมีส่วนร่วม</t>
  </si>
  <si>
    <t>7.2 ป้องกันและแก้ไขปัญหาคุณภาพน้ำในแหล่งน้ำธรรมชาติ</t>
  </si>
  <si>
    <t>7.1.1 หนึ่งองค์กรปกครองส่วนท้องถิ่น หนึ่งธนาคารขยะ</t>
  </si>
  <si>
    <t>7.2.1 ป้องกันและแก้ไขปัญหาคุณภาพแม่น้ำเจ้าพระยาและแม่น้ำน้อย</t>
  </si>
  <si>
    <t>7.2.2 พัฒนาระบบนิเวศทางน้ำสร้างความสมดุลคืนสู่ชุมชนอย่างยั่งยืน</t>
  </si>
  <si>
    <t>7.3 อ่างทองเมืองสีเขียว</t>
  </si>
  <si>
    <t>3.1.1 ส่งเสริมและสนับสนุนการผลิตพืชปลอดภัยจากสารพิษ (มะม่วง กล้วยหอมทอง เมล่อน และผัก)</t>
  </si>
  <si>
    <t>5.1 เชื่อมโยงตลาดและสร้างเครือข่ายการค้าทั้งในระดับประเทศและต่างประเทศ</t>
  </si>
  <si>
    <t>5.1.1 จัดแสดงและจำหน่ายสินค้าในประเทศ in store promotion/business matching ในต่างจังหวัด</t>
  </si>
  <si>
    <t xml:space="preserve">3.1.11 งานมหกรรมกินกุ้งใหญ่ กินไข่นกกระทา กินผักปลาปลอดสารพิษ  </t>
  </si>
  <si>
    <t>4. โครงการส่งเสริมการประชาสัมพันธ์เชิงรุกด้านการท่องเที่ยว</t>
  </si>
  <si>
    <t>4.1 จัดทำสื่อประชาสัมพันธ์เชิงรุก</t>
  </si>
  <si>
    <t>4.1.1 จัดทำสื่อประชาสัมพันธ์เชิงรุก</t>
  </si>
  <si>
    <t>4.2 ส่งเสริมกิจกรรมไหว้พระ 5 ที่สุด และของดีเมืองอ่างทอง</t>
  </si>
  <si>
    <t>2.1 สนับสนุนเทคโนโลยีพลังงานทดแทนและอนุรักษ์พลังงานในกระบวนการผลิต</t>
  </si>
  <si>
    <t>3.1 Road Show การท่องเที่ยวและสุดยอด OTOP</t>
  </si>
  <si>
    <t>5.1 พัฒนาผลิตภัณฑ์ของฝากของที่ระลึกกลุ่มจังหวัด</t>
  </si>
  <si>
    <t>6.1 พัฒนาเครือข่ายการท่องเที่ยวชุมชน</t>
  </si>
  <si>
    <t>บัญชีโครงการพัฒนาจังหวัด</t>
  </si>
  <si>
    <t xml:space="preserve">ที่ได้รับจัดสรรงบประมาณ ประจำปีงบประมาณ พ.ศ. 2561  </t>
  </si>
  <si>
    <t>บัญชีโครงการพัฒนาภาค แผนงานบูรณาการเสริมสร้างความเข้มแข็งและยั่งยืนให้กับเศรษฐกิจภายในประเทศ</t>
  </si>
  <si>
    <t>ที่ได้รับจัดสรรงบประมาณ ประจำปีงบประมาณ พ.ศ. 2561</t>
  </si>
  <si>
    <t>บัญชีโครงการพัฒนากลุ่มจังหวัด</t>
  </si>
  <si>
    <t>อำเภอป่าโมก</t>
  </si>
  <si>
    <t xml:space="preserve"> อำเภอไชโย</t>
  </si>
  <si>
    <t>สำนักงานประมงจังหวัด</t>
  </si>
  <si>
    <t xml:space="preserve"> - อำเภอสามโก้
 - อำเภอป่าโมก</t>
  </si>
  <si>
    <t xml:space="preserve">  - งบดำเนินงาน</t>
  </si>
  <si>
    <t xml:space="preserve"> - งบดำเนินงาน</t>
  </si>
  <si>
    <t>สถานะโครงการ</t>
  </si>
  <si>
    <t>สัญญา เริ่มต้น-สิ้นสุด</t>
  </si>
  <si>
    <t>วงเงินในสัญญาจ้าง</t>
  </si>
  <si>
    <t>เหลือจ่ายจากการก่อหนี้ผูกพัน</t>
  </si>
  <si>
    <t>ผลการดำเนินงาน</t>
  </si>
  <si>
    <t>ผลการเบิกจ่าย</t>
  </si>
  <si>
    <t>เบิกจ่าย
(บาท)</t>
  </si>
  <si>
    <t>คงเหลือ
(บาท)</t>
  </si>
  <si>
    <t>ร้อยละ</t>
  </si>
  <si>
    <t>5.2.6 ก่อสร้างระบบประปาหมู่บ้านแบบบาดาลขนาดใหญ่  หมู่ที่ 1 ตำบลรำมะสัก อำเภอโพธิ์ทอง จังหวัดอ่างทอง</t>
  </si>
  <si>
    <t>5.2.7 ก่อสร้างระบบประปาหมู่บ้านแบบบาดาลขนาดใหญ่ หมู่ที่ 8 ตำบลบ้านพราน อำเภอแสวงหา จังหวัดอ่างทอง</t>
  </si>
  <si>
    <t>5.3.1 ก่อสร้างสะพานคอนกรีตเสริมเหล็ก หมู่ที่ 5 
ตำบลชัยฤทธิ์ อำเภอไชโย จังหวัดอ่างทอง</t>
  </si>
  <si>
    <t>5.3.2 ก่อสร้างสะพานคอนกรีตเสริมเหล็ก หมู่ที่ 7 
ตำบลราชสถิตย์ อำเภอไชโย จังหวัดอ่างทอง</t>
  </si>
  <si>
    <t>5.3.3 ก่อสร้างสะพานคอนกรีตเสริมเหล็ก หมู่ที่ 2 
ตำบลรำมะสัก อำเภอโพธิ์ทอง จังหวัดอ่างทอง</t>
  </si>
  <si>
    <t>5.3.4 ก่อสร้างสะพานคอนกรีตเสริมเหล็ก หมู่ที่ 10 
ตำบลรำมะสัก อำเภอโพธิ์ทอง จังหวัดอ่างทอง</t>
  </si>
  <si>
    <t>5.3.5 ก่อสร้างสะพานคอนกรีตเสริมเหล็ก หมู่ที่ 4 
ตำบลจำลอง อำเภอแสวงหา จังหวัดอ่างทอง</t>
  </si>
  <si>
    <t>6.1.1 ปรับปรุงคลองลาดม้า พร้อมอาคารประกอบ 
ตำบลศาลาแดง อำเภอเมืองอ่างทอง จังหวัดอ่างทอง</t>
  </si>
  <si>
    <t>6.1.2 ปรับปรุงหนองลาดตะเพียน พร้อมอาคารประกอบ ตำบลป่างิ้ว อำเภอเมืองอ่างทอง จังหวัดอ่างทอง</t>
  </si>
  <si>
    <t>6.1.3 ปรับปรุงหนองเกาะ พร้อมอาคารประกอบ 
ตำบลป่างิ้ว อำเภอเมืองอ่างทอง จังหวัดอ่างทอง</t>
  </si>
  <si>
    <t>6.1.5 ปรับปรุงหนองเบิกไพร พร้อมอาคารประกอบ 
ตำบลไผ่ดำพัฒนา อำเภอวิเศษชัยชาญ จังหวัดอ่างทอง</t>
  </si>
  <si>
    <t>โครงการเสริมสร้างศักยภาพบุคลากรและองค์กรด้านการท่องเที่ยวกลุ่มจังหวัด เพื่อสร้างมูลค่าเพิ่ม</t>
  </si>
  <si>
    <t>โครงการเพิ่มประสิทธิภาพการบริหารจัดการยุทธศาสตร์การพัฒนาจังหวัดแบบบูรณาการจังหวัดอ่างทอง</t>
  </si>
  <si>
    <t>ประจำปีงบประมาณ 2561 งบประมาณ 8 ล้านบาท</t>
  </si>
  <si>
    <r>
      <rPr>
        <b/>
        <sz val="16"/>
        <rFont val="TH SarabunPSK"/>
        <family val="2"/>
      </rPr>
      <t>1. การจัดประชุมหารือเพื่อจัดทำแผนการพัฒนาจังหวัด และกลุ่มจังหวัดกับภาคส่วนต่าง ๆ ตามมาตรา 53/1 และมาตรา 53/2 แห่งพระราชบัญญัติระเบียบบริหารราชการแผ่นดิน พ.ศ. 2534 และที่แก้ไขเพิ่มเติม</t>
    </r>
    <r>
      <rPr>
        <b/>
        <u/>
        <sz val="16"/>
        <rFont val="TH SarabunPSK"/>
        <family val="2"/>
      </rPr>
      <t xml:space="preserve">
</t>
    </r>
  </si>
  <si>
    <t>1.1 กิจกรรมบริหารจัดการแผนพัฒนาจังหวัดอ่างทอง ประจำปีงบประมาณ พ.ศ. 2561</t>
  </si>
  <si>
    <t>(2) ดำเนินการจัดทำแผนปฏิบัติราชการประจำปีของจังหวัดอ่างทองปี 2562</t>
  </si>
  <si>
    <t>(3) ดำเนินงานตามตัวชี้วัดคำรับรองปฏิบัติราชการ</t>
  </si>
  <si>
    <t>(4) ค่าวัสดุสำนักงาน ค่าวิทยากรค่าอาหารจัดประชุม ค่าจ้างเหมาจัดทำเอกสาร และงานอำนวยการแผนพัฒนาจังหวัด</t>
  </si>
  <si>
    <t>(5) ค่าเดินทางไปราชการ/ค่าอาหารปฏิบัติงานล่วงเวลา</t>
  </si>
  <si>
    <t>2.1 กิจกรรมอำนวยการประชุมคณะกรรมการบริหารงานจังหวัดแบบบูรณาการ (ก.บ.จ.) คณะกรรมการบริหารงานกลุ่มจังหวัดแบบบูรณาการ (ก.บ.ก.) และคณะกรรมการร่วมภาครัฐและเอกชนเพื่อแก้ไขปัญหาเศรษฐกิจของจังหวัด(กรอ.จังหวัด)ประจำปีงบประมาณ พ.ศ. 2561</t>
  </si>
  <si>
    <t>(1) ค่าเบี้ยประชุมคณะกรรมการ ก.บ.จ.อ่างทอง</t>
  </si>
  <si>
    <t>(2) ค่าอาหารว่างและเครื่องดื่ม</t>
  </si>
  <si>
    <t>(3) ค่าจ้างเหมาจัดทำเอกสาร</t>
  </si>
  <si>
    <t>(4) ค่าเดินทางไปราชการ</t>
  </si>
  <si>
    <t>3. การจัดการศึกษาเพื่อพัฒนายุทธศาสตร์จังหวัด/กลุ่มจังหวัด</t>
  </si>
  <si>
    <t xml:space="preserve">3.1 กิจกรรมดำเนินการขับเคลื่อนยุทธศาสตร์การพัฒนาจังหวัดอ่างทอง (อ่างทองครัวกรุงเทพ และ 5 ที่สุดสิ่งศักดิ์สิทธิ์)
</t>
  </si>
  <si>
    <t>4. การพัฒนาประสิทธิภาพในการบริหารจัดการ</t>
  </si>
  <si>
    <t>(1) ค่าน้ำมันเชื้อเพลิงผวจ. 12*20,000 บาท 
รอง ผวจ. 2*12*13,000 บาท สนจ. 12*24,000 บาท</t>
  </si>
  <si>
    <t>(2) ค่าวัสดุสำนักงาน 12*25,000 บาท</t>
  </si>
  <si>
    <t>(3) ค่าเดินทางไปราชการ</t>
  </si>
  <si>
    <t>(4) ค่าซ่อมแซมครุภัณฑ์สำนักงาน</t>
  </si>
  <si>
    <t>(5) ค่าซ่อมแซมรถยนต์</t>
  </si>
  <si>
    <t>(6) ค่าวิทยากร ค่าอาหารจัดประชุมค่าจ้างเหมาจัดทำเอกสาร และงานอำนวยการบูรณาการทั่วไปของจังหวัด</t>
  </si>
  <si>
    <t>4.2 กิจกรรมจัดหาบุคลากรเพื่อสนับสนุนการบริหารจัดการตามยุทธศาสตร์
การพัฒนาจังหวัดอ่างทองประจำปีงบประมาณ พ.ศ. 2561 (7 คน)</t>
  </si>
  <si>
    <t>(1) วุฒิปริญาตรีช่วยงานการเงินงบประจำ (ประสบการณ์มากกว่า 2 ปี) 1 คนๆ ละ 12 เดือนๆ ละ 15,000 บาท</t>
  </si>
  <si>
    <t>(2) วุฒิปริญาตรีช่วยงานการเงินงบจังหวัดกลุ่มจังหวัด(ประสบการณ์น้อยกว่า 1 ปี) 1 คนๆ ละ 12 เดือนๆ ละ 13,000 บาท</t>
  </si>
  <si>
    <t>(3) วุฒิปริญาตรีช่วยงานระบบเอกสารอิเลคทรอนิกส์และบริหารงานทั่วไป (ประสบการณ์มากกว่า 2ปี) 1 คนๆ ละ 12 เดือนๆ ละ 15,000 บาท</t>
  </si>
  <si>
    <t>(4) วุฒิปริญาตรีช่วยงานยุทธศาสตร์ (ประสบการณ์มากกว่า 2 ปี) 1 คนๆ 
ละ 12 เดือนๆ ละ 15,000 บาท</t>
  </si>
  <si>
    <t>(5) วุฒิ ปวส.ช่วยงานธุรการทั่วไป 1 คนๆ ละ 12 เดือนเดือนละ 11,000 บาท</t>
  </si>
  <si>
    <t>(6) วุฒิ ปวส. ขับรถยนต์ 2 คนๆ ละ 12 เดือนๆ ละ 11,500 บาท</t>
  </si>
  <si>
    <t>4.4 กิจกรรมของส่วนราชการที่ได้รับอนุมัติจากผู้ว่าราชการจังหวัดอ่างทอง</t>
  </si>
  <si>
    <t xml:space="preserve">5.การเผยแพร่ประชาสัมพันธ์เพื่อให้เกิดความรู้ความเข้าใจแก่ภาคส่วนต่างๆ 
เพื่อเข้ามามีส่วนร่วมในการจัดทำแผน รวมทั้งเพื่อสนับสนุนเพื่อขับเคลื่อน
การดำเนินการตามแผน
</t>
  </si>
  <si>
    <t>6. การติดตามประเมินผล</t>
  </si>
  <si>
    <t xml:space="preserve">6.1 กิจกรรมค่าใช้จ่ายในการติดตามประเมินผลการดำเนินงานตามแผนพัฒนาจังหวัดอ่างทอง
</t>
  </si>
  <si>
    <t>(1) ค่าวัสดุสำนักงาน 12*20,000 บาท</t>
  </si>
  <si>
    <t>(2) ค่าเดินทางไปราชการ</t>
  </si>
  <si>
    <t>(3) ค่าซ่อมแซมครุภัณฑ์สำนักงาน</t>
  </si>
  <si>
    <t>(4) ซ่อมแซมเครื่องยนต์</t>
  </si>
  <si>
    <t>(5) ค่าวิทยากร ค่าอาหารจัดประชุมค่าจ้างเหมาจัดทำเอกสาร และงานอำนวยการติดตามยุทธศาสตร์ของจังหวัด</t>
  </si>
  <si>
    <t>(2) โครงการอบรมจิตอาสาเฉพาะกิจงานถวายพระเพลิงพระบรมศพ 
" จิตอาสางานรักษาความปลอดภัย และงานจราจร " จังหวัดอ่างทอง</t>
  </si>
  <si>
    <t>สนง.วัฒนธรรมจังหวัดอ่างทอง</t>
  </si>
  <si>
    <t>ตำรวจภูธรจังหวัดอ่างทอง</t>
  </si>
  <si>
    <t>สนง.จังหวัดอ่างทอง</t>
  </si>
  <si>
    <t xml:space="preserve">2. การจัดประชุม ก.บ.จ. หรือ กรอ.จังหวัด
</t>
  </si>
  <si>
    <t xml:space="preserve"> - เครื่องจับพิกัด GPS </t>
  </si>
  <si>
    <t>(6) ค่าเช่าเครื่องถ่ายเอกสาร 1 เครื่องๆ ละ 12 เดือนๆ ละ 13,000 บาท</t>
  </si>
  <si>
    <t>5.2.1 ก่อสร้างระบบประปาหมู่บ้านแบบบาดาลขนาดใหญ่ หมู่ที่ 10 ตำบลยางช้าย อำเภอโพธิ์ทอง จังหวัดอ่างทอง</t>
  </si>
  <si>
    <t>โครงการส่งเสริมและสนับสนุนเทคโนโลยีพลังงานทดแทนในนาแปลงใหญ่และกลุ่มเกษตรปลอดภัย</t>
  </si>
  <si>
    <t xml:space="preserve"> - ระบบสูบน้ำพลังงานแสงอาทิตย์ขนาด 25 กิโลวัตต์</t>
  </si>
  <si>
    <t xml:space="preserve"> - ระบบสูบน้ำพลังงานแสงอาทิตย์ขนาด 3 กิโลวัตต์</t>
  </si>
  <si>
    <t xml:space="preserve"> - ค่าเตา LPG ประสิทธิภาพสูง ขนาด 5 นิ้ว</t>
  </si>
  <si>
    <t xml:space="preserve"> - ค่าเตา LPG ประสิทธิภาพสูง ขนาด 8 นิ้ว</t>
  </si>
  <si>
    <t xml:space="preserve"> - ระบบอบแห้งพลังงานแสงอาทิตย์</t>
  </si>
  <si>
    <t>1.1 สนับสนุนเทคโนโลยีสูบน้ำพลังงานแสงอาทิตย์</t>
  </si>
  <si>
    <t>ผู้รับจ้าง</t>
  </si>
  <si>
    <t xml:space="preserve">7.1 ก่อสร้างระบบบำบัดน้ำเสียพลังงานแสงอาทิตย์ (Solar Cell)/ไม่ใช้พลังงานแสงอาทิตย์ (non Solar Cell) แบบกลุ่มอาคาร ชนิดถังสำเร็จรูป (ขนาด 50 ลบ.ม./วัน หรือ 80 ลบ.ม./วัน) </t>
  </si>
  <si>
    <t xml:space="preserve"> - อุปกรณ์ออกกำลังกายในชมรมผู้สูงอายุ จำนวน 
180 ชุด</t>
  </si>
  <si>
    <t xml:space="preserve">  - งบลงทุน</t>
  </si>
  <si>
    <t>สนง.สวัสดิการและคุ้มครองแรงงานจังหวัด</t>
  </si>
  <si>
    <t>สนง.พระพุทธศาสนาจังหวัด</t>
  </si>
  <si>
    <t>1.2.2 รณรงค์ป้องกันและแก้ไขปัญหายาเสพติด 
(To Be Number One) ในสถานพินิจและคุ้มครองเด็กและเยาวชนจังหวัดอ่างทอง</t>
  </si>
  <si>
    <t>3.1.4 ส่งเสริมและพัฒนาฟาร์มตัวอย่างตามพระราชดำริ ในสมเด็จพระนางเจ้าฯ พระบรมราชินีนาถ 
หนองระหารจีน ตำบลบ้านอิฐ อำเภอเมืองอ่างทอง จังหวัดอ่างทอง</t>
  </si>
  <si>
    <t>5.1.1 ปรับปรุงถนนแอสฟัลท์ติกคอนกรีตทางเข้า-ออกศูนย์กำจัดมูลฝอยรวมเทศบาลเมืองอ่างทอง หมู่ที่ 3 
ตำบลเทวราช อำเภอไชโย จังหวัดอ่างทอง</t>
  </si>
  <si>
    <t>5.1.2 ปรับปรุงถนนแอสฟัลท์ติกคอนกรีต พร้อมท่อ
ระบายน้ำและบ่อพัก คสล. ถนนเทศบาล 5 
อำเภอเมืองอ่างทอง จังหวัดอ่างทอง</t>
  </si>
  <si>
    <t>5.1.3 ก่อสร้างถนนคอนกรีตเสริมเหล็กหมู่ที่ 1 หมู่ที่ 2 เชื่อมต่อหมู่ที่ 3 ตำบลราชสถิตย์ อำเภอไชโย 
จังหวัดอ่างทอง</t>
  </si>
  <si>
    <t>5.1.4 ก่อสร้างถนนคอนกรีตเสริมเหล็กหมู่ที่ 3 
ตำบลวังน้ำเย็น อำเภอแสวงหา เชื่อมต่อ หมู่ที่ 10 
ตำบลรำมะสัก อำเภอโพธิ์ทอง จังหวัดอ่างทอง</t>
  </si>
  <si>
    <t xml:space="preserve">5.2.2 ก่อสร้างระบบประปาหมู่บ้านแบบบาดาลขนาดใหญ่ หมู่ที่ 5 ตำบลตลาดใหม่ อำเภอวิเศษชัยชาญ 
จังหวัดอ่างทอง  </t>
  </si>
  <si>
    <t xml:space="preserve">5.2.5 ก่อสร้างระบบประปาหมู่บ้านแบบบาดาลขนาดใหญ่ หมู่ที่ 5  ตำบลมหาดไทย อำเภอเมืองอ่างทอง 
จังหวัดอ่างทอง  </t>
  </si>
  <si>
    <t xml:space="preserve">7.3.1 ปรับปรุงภูมิทัศน์บริเวณหน้าศาลากลาง
จังหวัดอ่างทอง </t>
  </si>
  <si>
    <t>(4) โครงการแสดงความจงรักภักดีถวายเป็นพระราชกุศลแด่พระปรมินทรมหาภูมิพลอดุลยเดช บรมนาถบพิตร เนื่องในโอกาสเสด็จสวรรคตครบ 1 ปี</t>
  </si>
  <si>
    <t>ยกเลิกโครงการ</t>
  </si>
  <si>
    <t xml:space="preserve"> - จัดซื้อจุลินทรีย์ปรับปรุงคุณภาพน้ำ</t>
  </si>
  <si>
    <t>งบประมาณ 31,947,700 บาท (สามสิบเอ็ดล้านเก้าแสนสี่หมื่นเจ็ดพันเจ็ดร้อยบาทถ้วน)</t>
  </si>
  <si>
    <t>งบประมาณ 49,000,000 บาท (สี่สิบเก้าล้านบาทถ้วน)</t>
  </si>
  <si>
    <t>งบประมาณ 185,832,900 บาท (หนึ่งร้อยแปดสิบห้าล้านแปดแสนสามหมื่นสองพันเก้าร้อยบาทถ้วน)</t>
  </si>
  <si>
    <t xml:space="preserve"> - จัดซื้ออาหารเสริมวิตามินซี และวิตามินรวม จำนวน 9 ชุด</t>
  </si>
  <si>
    <t xml:space="preserve"> - จัดซื้อยาฆ่าเชื้อและกำจัดปรสิตภายนอก จำนวน 9 ชุด</t>
  </si>
  <si>
    <t xml:space="preserve"> - สาธิตการใช้ปุ๋ยพืชสด การทำปุ๋ยหมักและการทำน้ำหมักชีวภาพ</t>
  </si>
  <si>
    <t>สถานีพัฒนาที่ดิน</t>
  </si>
  <si>
    <t>1.1.1 พัฒนาปัจจัยสนับสนุนภาคการท่องเที่ยวและการบริการ
 - จัดทำป้ายบอกเส้นทางในแหล่งท่องเที่ยว</t>
  </si>
  <si>
    <t>แขวงทางหลวงชนบทอ่างทอง</t>
  </si>
  <si>
    <t xml:space="preserve"> - พัฒนาแหล่งท่องเที่ยวบางเสด็จ ก่อสร้างอาคารเรือนไทยเชื่อมศูนย์ตุ๊กตาชาววัง</t>
  </si>
  <si>
    <t xml:space="preserve"> - พัฒนาแหล่งท่องเที่ยวเพื่อคนทั้งมวล ณ วัดไชโยวรวิหาร ทาสีเส้นที่จอดรถคนพิการ ป้ายชี้ทาง จุดแวะพักทางลาด และทางลง</t>
  </si>
  <si>
    <t>แขวงทางหลวงอ่างทอง</t>
  </si>
  <si>
    <t>สนง.สถิติจังหวัดอ่างทอง</t>
  </si>
  <si>
    <t>เหลือจ่ายส่งคืน</t>
  </si>
  <si>
    <t xml:space="preserve"> - ปรับสภาพบ้านผู้สูงอายุ จำนวน 600 หลัง</t>
  </si>
  <si>
    <t xml:space="preserve">5.1 กิจกรรมของส่วนราชการที่ได้รับอนุมัติจากผู้ว่าราชการจังหวัด
</t>
  </si>
  <si>
    <t>(1) โครงการค่ายครอบครัว " สานใจไทยสู่ใจใต้ " รุ่นที่ 31</t>
  </si>
  <si>
    <t>(3) โครงการปรับปรุงสถานที่บริการและอำนวยความสะดวก แก่ประชาชน ในพิธีถวายดอกไม้จันทร์ จังหวัดอ่างทอง</t>
  </si>
  <si>
    <t>(5) โครงการ "หน่วยบำบัดทุกข์ บำรุงสุขสร้างรอยยิ้มให้ประชาชน" เพื่อเสริมสร้างความเข้าใจ ของประชาชนในการดำเนินงานตามยุทธศาสตร์การพัฒนาจังหวัดอ่างทอง ประจำปีงบประมาณ พ.ศ. 2561</t>
  </si>
  <si>
    <t>ที่ทำการปกครองจังหวัดอ่างทอง</t>
  </si>
  <si>
    <t xml:space="preserve"> - รถรางชมวิวระบบเชื้อเพลิงเบนซิน ขนาดไม่น้อยกว่า 
23 ที่นั่ง</t>
  </si>
  <si>
    <t>สนง.ทรัพยากรธรรมชาติและสิ่งแวดล้อมจังหวัด</t>
  </si>
  <si>
    <t>3.1.5 ส่งเสริมและพัฒนาพื้นที่แก้มลิงหนองเจ็ดเส้น 
อันเนื่องมาจากพระราชดำริ ตำบลหัวไผ่ 
อำเภอเมืองอ่างทอง ตำบลสายทอง อำเภอป่าโมก 
จังหวัดอ่างทอง</t>
  </si>
  <si>
    <t>สนง.ทรัพยากรธรรมชาติและสิ่งแวดล้อม</t>
  </si>
  <si>
    <t>(1) โครงการจัดทำป้ายประชาสัมพันธ์ "โครงการตลาดประชารัฐ" 
จังหวัดอ่างทอง</t>
  </si>
  <si>
    <t>(2) โครงการผู้ว่าพบประชาชน ประจำปีงบประมาณ พ.ศ.2561 ภายใต้โครงการเพิ่มประสิทธิภาพการบริหารจัดการยุทธศาสตร์การพัฒนาจังหวัดแบบบูรณาการจังหวัดอ่างทอง ประจำปีงบประมาณ พ.ศ.2561</t>
  </si>
  <si>
    <t xml:space="preserve"> กิจกรรมพัฒนาระบบข้อมูลสารสนเทศและการสื่อสารเพื่อการบริหารจัดการยุทธศาสตร์การพัฒนาจังหวัด 100,000 + กิจกรรมอำนวยการบริหารงานจังหวัดแบบบูรณาการจังหวัดอ่างทองประจำปีงบประมาณ พ.ศ. ๒๕61 จำนวน 5,1000</t>
  </si>
  <si>
    <t>4.3 โครงการติดตั้งระบบกล้องโทรทัศน์วงจรปิด CCTV บริเวณพระเมรุมาศจำลอง และบริเวณศาลากลางจังหวัดอ่างทอง</t>
  </si>
  <si>
    <t>(6) โครงการฝึกอบรมเชิงปฏิบัติการ "การจัดซื้อจัดจ้างด้วยวิธีการทางอิเล็กทรอนิกส์ (Electronic Government Procurement : e-GP)"</t>
  </si>
  <si>
    <t>สนง.คลังจังหวัดอ่างทอง</t>
  </si>
  <si>
    <t xml:space="preserve">  - อำเภอ 7 อำเภอ</t>
  </si>
  <si>
    <t xml:space="preserve">  - สพม.เขต 5</t>
  </si>
  <si>
    <t xml:space="preserve">  - สพป.อ่างทอง</t>
  </si>
  <si>
    <t xml:space="preserve">  - สถานประกอบการ</t>
  </si>
  <si>
    <t xml:space="preserve">  - เรือนจำ</t>
  </si>
  <si>
    <t xml:space="preserve">  - คุมประพฤติจังหวัด</t>
  </si>
  <si>
    <t xml:space="preserve">  - วิทยาลัยนาฏศิลปอ่างทอง</t>
  </si>
  <si>
    <t>เริ่ม 25 ต.ค.60 สิ้นสุด 22 เม.ย.61</t>
  </si>
  <si>
    <t>หจก.ภัสสรชัยมงคล</t>
  </si>
  <si>
    <t>เริ่ม 10 พ.ย. .60 สิ้นสุด 7 ก.พ. 61</t>
  </si>
  <si>
    <t>หจก.เยี่ยมบุญชัย 94</t>
  </si>
  <si>
    <t>เริ่ม 8 พ.ย. .60 สิ้นสุด 22 ธ.ค. 60</t>
  </si>
  <si>
    <t>หจก.อ่างทองพัฒนา</t>
  </si>
  <si>
    <t>เริ่ม 18 ต.ค. 60 สิ้นสุด 14 ก.พ. 61</t>
  </si>
  <si>
    <t>หจก.นาคราชการโยธา</t>
  </si>
  <si>
    <t>เริ่ม 21 ต.ค. 60 สิ้นสุด 18 เม.ย. 61</t>
  </si>
  <si>
    <t>เริ่ม 9 พ.ย. 60 สิ้นสุด 7 พ.ค. 61</t>
  </si>
  <si>
    <t>กิจการร่วมค้าดัดประดิษฐ์ก่อสร้างและตระกูลดีอ้นการค้า</t>
  </si>
  <si>
    <t>เริ่ม 10 พ.ย. 60 สิ้นสุด 9 มี.ค. 61</t>
  </si>
  <si>
    <t>หจก.ศรณรงค์ก่อสร้าง</t>
  </si>
  <si>
    <t>เริ่ม 21 พ.ย. 60 สิ้นสุด 19 เม.ย. 61</t>
  </si>
  <si>
    <t>เริ่ม 9 พ.ย. 60 สิ้นสุด 8 พ.ค. 61</t>
  </si>
  <si>
    <t>หจก.มหาราชชัยมงคล</t>
  </si>
  <si>
    <t>เริ่ม 18 พ.ย. 60 สิ้นสุด 27 พ.ค. 61</t>
  </si>
  <si>
    <t>ร้านอารีย์ก่อสร้าง</t>
  </si>
  <si>
    <t>อยู่ระหว่างประกาศประกวดราคา</t>
  </si>
  <si>
    <t>ร้านออโต้ไอที</t>
  </si>
  <si>
    <t>เริ่ม 20 พ.ย. 60 สิ้นสุด 27 พ.ย. 61</t>
  </si>
  <si>
    <t>4.1 กิจกรรมอำนวยการบริหารงานจังหวัดแบบบูรณาการจังหวัดอ่างทองประจำปีงบประมาณ พ.ศ. 2561</t>
  </si>
  <si>
    <t>(7) โครงการวันพุธวันกีฬา จังหวัดอ่างทอง (Wednesday Sports Angthong) ประจำปีงบประมาณ พ.ศ. 2561</t>
  </si>
  <si>
    <t>สนง.จังหวัดอ่างทอง
(กลุ่มงานบริหารทรัพยากรบุคคล)</t>
  </si>
  <si>
    <t>3.2.2 รวมกลุ่มและสร้างเครือข่ายการพัฒนาการเกษตรตามแนวทฤษฏีใหม่ โดยยึดหลักปรัชญาเศรษฐกิจพอเพียง</t>
  </si>
  <si>
    <t>บัญชีสรุปผลการเบิกจ่ายงบประมาณโครงการพัฒนากลุ่มจังหวัดแบบบูรณาการ
ประจำปีงบประมาณ พ.ศ. 2560 ในส่วนจังหวัดอ่างทอง</t>
  </si>
  <si>
    <t xml:space="preserve">ที่ </t>
  </si>
  <si>
    <t>ผลการเบิกจ่ายงบประมาณ</t>
  </si>
  <si>
    <t>หน่วยงานรับผิดชอบ</t>
  </si>
  <si>
    <t>เบิกจ่าย(บาท)</t>
  </si>
  <si>
    <t>คงเหลือ(บาท)</t>
  </si>
  <si>
    <t>โครงการสนับสนุนการบริหารจัดการและจ้างเหมาเอกชนดำเนินงานของกลุ่มจังหวัดภาคกลางตอนบน 2</t>
  </si>
  <si>
    <t>สำนักงานจังหวัดอ่างทอง</t>
  </si>
  <si>
    <t>(8) โครงการส่งเสริมตลาดประชารัฐจังหวัดอ่างทอง ประจำปี 2561</t>
  </si>
  <si>
    <t>(1) ดำเนินการทบทวนแผนพัฒนาจังหวัดอ่างทอง (5ปี) 
พ.ศ. 2560-2564 (ทบทวน ปี 2562)</t>
  </si>
  <si>
    <t>3.1.3 ส่งเสริมและพัฒนาฟาร์มตัวอย่างตามพระราชดำริในสมเด็จพระนางเจ้าฯ พระบรมราชินีนาถ 
ตำบลสีบัวทอง อำเภอแสวงหา จังหวัดอ่างทอง</t>
  </si>
  <si>
    <t>เริ่ม 1 ธ.ค. 60 สิ้นสุด 30 มี.ค. 61</t>
  </si>
  <si>
    <t>ประชาสัมพันธ์จังหวัดอ่างทอง</t>
  </si>
  <si>
    <t>รอตรวจสิ่งแวดล้อม</t>
  </si>
  <si>
    <t>รอประกาศ</t>
  </si>
  <si>
    <t>เปลี่ยนแปลงรายละเอียดขอทำความตกลงกับสงป.</t>
  </si>
  <si>
    <t>แก้ไข ปร.4,ปร.5</t>
  </si>
  <si>
    <t>แก้ไขรายละเอียด</t>
  </si>
  <si>
    <t>รอแบบ,ปร.4,ปร.5</t>
  </si>
  <si>
    <t>อนุมัติโครงการ</t>
  </si>
  <si>
    <t>โครงการเงินเหลือจ่าย</t>
  </si>
  <si>
    <t>โครงการปรับปรุงและพัฒนาโครงสร้างพื้นฐาน</t>
  </si>
  <si>
    <t>กิจกรรมเสริมคันดินริมแม่น้ำเจ้าพระยาเพื่อเพิ่มความแข็งแรงของคันดิน หมู่ที่ 4 ตำบลบ้านแห อำเภอเมืองอ่างทอง จังหวัดอ่างทอง</t>
  </si>
  <si>
    <t>กิจกรรมส่งเสริมและพัฒนาพื้นที่แก้มลิงหนองเจ็ดเส้นอันเนื่องมาจากพระราชดำริ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</si>
  <si>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>โครงการส่งเสริมอาชีพ สร้างโอกาส สร้างรายได้ ของประชาชน</t>
  </si>
  <si>
    <t>กิจกรรมย่อย ก่อสร้างลานจอดรถคอนกรีตเสริมเหล็ก</t>
  </si>
  <si>
    <t>สำนักงานโยธาธิการและผังเมืองจังหวัดอ่างทอง</t>
  </si>
  <si>
    <t>ผลการดำเนินงานโครงการพัฒนาจังหวัดแบบบูรณาการ ปีงบประมาณ 2561</t>
  </si>
  <si>
    <t>รายการงบลงทุน</t>
  </si>
  <si>
    <t>รายการ</t>
  </si>
  <si>
    <t>หน่วยดำเนินการ</t>
  </si>
  <si>
    <t>การดำเนินการ</t>
  </si>
  <si>
    <t>ลงนามสัญญาจ้าง</t>
  </si>
  <si>
    <t>งบประมาณ(บาท)</t>
  </si>
  <si>
    <t>พิจารณาผล</t>
  </si>
  <si>
    <t>อยู่ระหว่างประกาศประกวดราคาครั้งที่ 2</t>
  </si>
  <si>
    <t>ได้ตัวผู้รับจ้าง วันที่ 19 ธ.ค.60</t>
  </si>
  <si>
    <t>หจก. วีเอส
แม็ชชิ่ง</t>
  </si>
  <si>
    <t>ได้ตัวผู้รับจ้างแล้วรออุทธรณ์</t>
  </si>
  <si>
    <t>ขายแบบ วันที่ 19-26 ธ.ค.60</t>
  </si>
  <si>
    <t>แต่งตั้งคณะกรรมการ</t>
  </si>
  <si>
    <t>แก้ไขโครงการ</t>
  </si>
  <si>
    <t>5.2.1 ก่อสร้างระบบประปาหมู่บ้านแบบบาดาลขนาดใหญ่ หมู่ที่ 10 ตำบลยางช้าย อำเภอโพธิ์ทอง 
จังหวัดอ่างทอง</t>
  </si>
  <si>
    <t xml:space="preserve">5.2.3 ก่อสร้างระบบประปาหมู่บ้านแบบบาดาลขนาดใหญ่  หมู่ที่ 3 ตำบลโพธิ์รังนก อำเภอโพธิ์ทอง 
จังหวัดอ่างทอง  </t>
  </si>
  <si>
    <t xml:space="preserve">5.2.4 ก่อสร้างระบบประปาหมู่บ้านแบบบาดาลขนาดใหญ่ หมู่ที่ 1 ตำบลยางซ้าย อำเภอโพธิ์ทอง 
จังหวัดอ่างทอง  </t>
  </si>
  <si>
    <t>5.2.6 ก่อสร้างระบบประปาหมู่บ้านแบบบาดาลขนาดใหญ่  หมู่ที่ 1 ตำบลรำมะสัก อำเภอโพธิ์ทอง 
จังหวัดอ่างทอง</t>
  </si>
  <si>
    <t>ยังไม่เสนอโครงการ</t>
  </si>
  <si>
    <t>ยกเลิก 
(ก.บ.ก.เห็นชอบ 
เมื่อวันที่ 12 ธ.ค.60)</t>
  </si>
  <si>
    <t>บริษัททองสยามคอนสตัคชั่น ซับพลาย</t>
  </si>
  <si>
    <t>เริ่ม 18 พ.ย. 60 สิ้นสุด 
27 พ.ค. 61</t>
  </si>
  <si>
    <t>เริ่ม 1 ธ.ค. 60 สิ้นสุด 
30 มี.ค. 61</t>
  </si>
  <si>
    <t>เริ่ม 9 พ.ย. 60 สิ้นสุด 
8 พ.ค. 61</t>
  </si>
  <si>
    <t>เริ่ม 9 พ.ย. 60 สิ้นสุด 
7 พ.ค. 61</t>
  </si>
  <si>
    <t>เริ่ม 21 พ.ย. 60 สิ้นสุด 
19 เม.ย. 61</t>
  </si>
  <si>
    <t>เริ่ม 8 พ.ย. .60 สิ้นสุด 
22 ธ.ค. 60</t>
  </si>
  <si>
    <t>เริ่ม 10 พ.ย. .60 สิ้นสุด 
7 ก.พ. 61</t>
  </si>
  <si>
    <t>เริ่ม 25 ต.ค.60 สิ้นสุด 
22 เม.ย.61</t>
  </si>
  <si>
    <t>เริ่ม 20 พ.ย. 60 สิ้นสุด 
27 พ.ย. 61</t>
  </si>
  <si>
    <t>กิจกรรมส่งเสริมและพัฒนาพื้นที่แก้มลิงหนองเจ็ดเส้น
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</si>
  <si>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>เสร็จแล้ว</t>
  </si>
  <si>
    <t>บัญชีโครงการที่ขอรับการสนับสนุนโครงการ</t>
  </si>
  <si>
    <t xml:space="preserve">งบประมาณค่าใช้จ่ายในการสนับสนุนการแก้ไขปัญหาความเดือดร้อนเร่งด่วนของประชาชนในจังหวัดอ่างทอง </t>
  </si>
  <si>
    <t>ประจำปีงบประมาณ พ.ศ. 2561 งวดที่ 1 (1.5 ล้านบาท)</t>
  </si>
  <si>
    <t>งบประมาณที่เสนอขอรับการอนุมัติ</t>
  </si>
  <si>
    <t>หน่วยงานที่รับผิดชอบร่วม</t>
  </si>
  <si>
    <t xml:space="preserve">ค่าใช้จ่ายในการสนับสนุนการแก้ไขปัญหาความเดือดร้อนเร่งด่วนของประชาชนในจังหวัด ประจำปีงบประมาณ พ.ศ. 2561         </t>
  </si>
  <si>
    <t xml:space="preserve"> - สำนักงานจังหวัดอ่างทอง
 - อำเภอเมืองอ่างทอง</t>
  </si>
  <si>
    <t xml:space="preserve"> - สำนักงานจังหวัดอ่างทอง
 - อำเภอสามโก้</t>
  </si>
  <si>
    <t xml:space="preserve"> - สำนักงานจังหวัดอ่างทอง
 - อำเภอแสวงหา</t>
  </si>
  <si>
    <t xml:space="preserve"> - สำนักงานจังหวัดอ่างทอง
 - อำเภอวิเศษชัยชาญ</t>
  </si>
  <si>
    <t xml:space="preserve"> - สำนักงานจังหวัดอ่างทอง
 - อำเภอโพธิ์ทอง</t>
  </si>
  <si>
    <t xml:space="preserve"> - สำนักงานจังหวัดอ่างทอง
 - อำเภอป่าโมก</t>
  </si>
  <si>
    <t xml:space="preserve">             งวดที่ 1 : 1,500,000 บาท</t>
  </si>
  <si>
    <t xml:space="preserve">             หมายเหตุ : ก่อหนี้ผูกพัน และเบิกจ่ายให้แล้วเสร็จภายในวันที่ 31 มีนาคม 2561</t>
  </si>
  <si>
    <t xml:space="preserve">             งวดที่ 2 : 1,500,000 บาท</t>
  </si>
  <si>
    <t xml:space="preserve">             ** ทั้ง 2 งวด ต้องเบิกจ่ายให้แล้วเสร็จภายใน 31 สิงหาคม 2561</t>
  </si>
  <si>
    <t>เริ่มต้น-สิ้นสุด</t>
  </si>
  <si>
    <t>วงเงินสัญญาจ้าง</t>
  </si>
  <si>
    <t>เงินเหลือจากการก่อหนี้</t>
  </si>
  <si>
    <t>1.4 โครงการซ่อมสร้างถนนคอนกรีตเสริมเหล็ก หมู่ที่ 5 
ตำบลห้วยคันแหลน อำเภอวิเศษชัยชาญ จังหวัดอ่างทอง</t>
  </si>
  <si>
    <t>1.1 โครงการวางท่อระบายน้ำพร้อมบ่อพักคอนกรีตเสริมเหล็ก
ซอยข้างศาลา SML หมู่ที่ 7 ตำบลศาลาแดง</t>
  </si>
  <si>
    <t>1.2.8 ค้นหาผู้เสพ/ผู้ติดยาเสพติด เพื่อนำเข้าบำบัด</t>
  </si>
  <si>
    <t>เริ่ม 22 ธ.ค. 60 สิ้นสุด 
4 ก.พ. 61</t>
  </si>
  <si>
    <t>สำนักงานพัฒนาสังคมและความมั่นคงของมนุษย์จังหวัดอ่างทอง</t>
  </si>
  <si>
    <t>(3) โครงการจัดทำปฏิทินส่งเสริมการท่องเที่ยว จังหวัดอ่างทอง ประจำปี 2561</t>
  </si>
  <si>
    <t>เริ่ม 29 ธ.ค.60 สิ้นสุด 
27 ม.ค.61</t>
  </si>
  <si>
    <t>นายชินพันธ์ เหลืองศิธัญญะ</t>
  </si>
  <si>
    <t>ป.ประทีบก่อสร้าง</t>
  </si>
  <si>
    <t>เริ่ม 13 ม.ค. 61
สิ้นสุด 
26 ก.พ. 61</t>
  </si>
  <si>
    <t>(4) โครงการประชาสัมพันธ์ยุทธศาสตร์การพัฒนาจังหวัดอ่างทอง ประจำปีงบประมาณ พ.ศ. 2561</t>
  </si>
  <si>
    <t>(9) โครงการปรับปรุงเวทีเฉลิมพระเกียรติสำหรับจัดงานรัฐพิธีและจัดกิจกรรมที่สำคัญตามยุทธศาสตร์การพัฒนาจังหวัด</t>
  </si>
  <si>
    <t>สนง.จังหวัดอ่างทอง
(กลุ่มงานอำนวยการ)</t>
  </si>
  <si>
    <t>(5) โครงการประชาสัมพันธ์อุทยานสวรรค์อ่างทองหนองเจ็ดเส้น</t>
  </si>
  <si>
    <t>เริ่ม 24 ม.ค. 61 สิ้นสุด 
23 พ.ค. 61</t>
  </si>
  <si>
    <t>เริ่ม 24 ม.ค. 61 สิ้นสุด 
22 มิ.ย. 61</t>
  </si>
  <si>
    <t>เริ่ม 17 ม.ค. 61
สิ้นสุด 
16 เม.ย. 61</t>
  </si>
  <si>
    <t>หจก.ตั้งรุ่งเรืองกิจการโยธา</t>
  </si>
  <si>
    <t>บริษัท เพชรอินทร์ก่อสร้าง จำกัด</t>
  </si>
  <si>
    <t>1.2 โครงการปรับปรุงซ่อมแซมผิวจราจรชำรุดบรรเทาความเดือดร้อนของประชาชน (ถนนลูกรังหนองอ้ายเปลี่ยว หมู่ที่ 2 
ตำบลราษฎรพัฒนา อำเภอสามโก้ จังหวัดอ่างทอง)</t>
  </si>
  <si>
    <t>สัญญาเริ่มต้น 5 ม.ค. 61 สิ้นสุด  19 ก.พ. 61</t>
  </si>
  <si>
    <t>สัญญาเริ่มต้น 26 ธ.ค. 60สิ้นสุด  25 ม.ค. 61</t>
  </si>
  <si>
    <t>สัญญาเริ่มต้น 12 ม.ค. 61 สิ้นสุด  10 ก.พ. 61</t>
  </si>
  <si>
    <t>สัญญาเริ่มต้น 15 ม.ค. 61 สิ้นสุด  1 มี.ค. 62</t>
  </si>
  <si>
    <t>พัชรพล พาณิชย์</t>
  </si>
  <si>
    <t>ร้านชยาภรณ์</t>
  </si>
  <si>
    <t>น.ส. นุชลี 
ขวัญเกตุ</t>
  </si>
  <si>
    <t>นายเสมา 
ผลไพบูลย์</t>
  </si>
  <si>
    <t>1.6 ซ่อมแซมปรับปรุงถนนเลียบคลองชลประทาน (ริมคลองตาเส็ง) หมู่ที่ 5 ตำบลเอกราชอำเภอป่าโมก  จังหวัดอ่างทอง</t>
  </si>
  <si>
    <t>1.5 โครงการปรับปรุงซ่อมแซมระบบประปาหมู่บ้าน หมู่ที่ 7 
ตำบลอินทประมูล อำเภอโพธิ์ทอง จังหวัดอ่างทอง</t>
  </si>
  <si>
    <t>1.3 โครงการปรับปรุงซ่อมแซมถนนภายในหมู่บ้าน หมู่ที่ 8 
ตำบลบ้านพราน อำเภอแสวงหา จังหวัดอ่างทอง</t>
  </si>
  <si>
    <t xml:space="preserve">5.2.4 ก่อสร้างระบบประปาหมู่บ้านแบบบาดาลขนาดใหญ่ หมู่ที่ 1 ตำบลยางซ้าย อำเภอโพธิ์ทอง จังหวัดอ่างทอง  </t>
  </si>
  <si>
    <t>กิจกรรมเสริมคันดินริมแม่น้ำเจ้าพระยาเพื่อเพิ่มความแข็งแรงของคันดิน หมู่ที่ 5 ตำบลบ้านแห อำเภอเมืองอ่างทอง จังหวัดอ่างทอง</t>
  </si>
  <si>
    <t>หจก. จำกัด วรศักดิ์การชั่ง</t>
  </si>
  <si>
    <t>เริ่ม 30 ม.ค.61 สิ้นสุด 
28 ส.ค.61</t>
  </si>
  <si>
    <t>3.1.19 งานวิ่งเฉลิมพระเกียรติ</t>
  </si>
  <si>
    <t>สัญญาเริ่มต้น 
3 ม.ค. 61 สิ้นสุด  17 ก.พ. 61</t>
  </si>
  <si>
    <t>เริ่ม 6 ก.พ .61 สิ้นสุด 6 เม.ย. 61</t>
  </si>
  <si>
    <t>เริ่ม 10 ก.พ .61 สิ้นสุด 10 เม.ย. 61</t>
  </si>
  <si>
    <t>บริษัท ไทยบิลบอร์ด จำกัด</t>
  </si>
  <si>
    <t>หจก.คังวอณประเทศไทย</t>
  </si>
  <si>
    <t>เริ่ม 26 ธ.ค.60 สิ้นสุด 
25 มี.ค. 61</t>
  </si>
  <si>
    <t>1.1.1 เสริมสร้างศักยภาพการรักษาความปลอดภัย
ในชีวิตและทรัพย์สินของบุคลากรตำรวจภูธร</t>
  </si>
  <si>
    <t>1.1.2 พัฒนาศักยภาพคณะกรรมการหมู่บ้าน(กม.) 
ในการสร้างความปรองดองสมานฉันท์</t>
  </si>
  <si>
    <t>1.2.10 พัฒนาและสร้างเครือข่ายแรงงานป้องกัน
ยาเสพติด</t>
  </si>
  <si>
    <t>1.2.13 เสริมสร้างความเข้มแข็งหมู่บ้าน/ชุมชนที่มี
การแพร่ระบาดยาเสพติด</t>
  </si>
  <si>
    <t>1.2.14 พัฒนาศักยภาพชุดปฏิบัติการปราบปราม
ยาเสพติด</t>
  </si>
  <si>
    <t>เริ่ม 25 ม.ค.61
สิ้นสุด 
25 มี.ค. 61</t>
  </si>
  <si>
    <t>น.ส.พัชริยา ศรีทอง</t>
  </si>
  <si>
    <t>(6) โครงการปรับปรุงซ่อมแซมป้ายประชาสัมพันธ์ทำเนียบผู้ดำรงตำแหน่งผู้ว่าราชการจังหวัดอ่างทองและป้ายผังที่ตั้งส่วนราชการประจำศาลากลางจังหวัดอ่างทอง</t>
  </si>
  <si>
    <t>(7) ค่าเช่าเครื่องถ่ายเอกสาร 1 เครื่องๆ ละ 12 เดือน เดือนละ 13,000บาท</t>
  </si>
  <si>
    <t>เริ่ม 20 ก.พ.61 สิ้นสุด 17 ต.ค.61</t>
  </si>
  <si>
    <t>คาดการเดือน มี.ค.</t>
  </si>
  <si>
    <t xml:space="preserve">ลงนามสัญญาจ้างแล้ว </t>
  </si>
  <si>
    <t>ยกเลิก (ก.บ.ก.เห็นชอบ 
เมื่อวันที่ 12 ธ.ค.60)</t>
  </si>
  <si>
    <t>กิจกรรมก่อสร้างถนนคอนกรีตเสริมเหล็ก หมู่ที่ 4 
ตำบลรำมะสัก อำเภอโพธิ์ทอง เชื่อมต่อ หมู่ที่ 2 
ตำบลวังน้ำเย็น อำเภอแสวงหา จังหวัดอ่างทอง</t>
  </si>
  <si>
    <t xml:space="preserve"> - ลานอเนกประสงค์</t>
  </si>
  <si>
    <t>4.2.1 อ่างทองที่สุดอัศจรรย์</t>
  </si>
  <si>
    <t>อยู่ระหว่างดำเนินการ</t>
  </si>
  <si>
    <t>สัญญาเริ่มต้น 
9 มี.ค. 61 สิ้นสุด
 7 เม.ย. 61</t>
  </si>
  <si>
    <t>นายธวัชชัย 
ตรีเข้ม</t>
  </si>
  <si>
    <t>เริ่ม 18 ต.ค. 60 สิ้นสุด 
14 ก.พ. 61 ขยาย 5 เม.ย.61</t>
  </si>
  <si>
    <t>เงินเหลือจ่าย</t>
  </si>
  <si>
    <t xml:space="preserve"> - จัดซื้อที่นอนลม จำนวน 156 ผืน
</t>
  </si>
  <si>
    <t>(10) โครงการอำนวยการการจัดงานรัฐพิธีของจังหวัด ประจำปีงบประมาณ พ.ศ. 2561 ภายใต้โครงการเพิ่มประสิทธิภาพการบริหารจัดการยุทธศาสตร์การพัฒนาจังหวัดแบบบูรณาการจังหวัดอ่างทอง ประจำปีงบประมาณ พ.ศ. 2561</t>
  </si>
  <si>
    <t>(11) โครงการค่ายครอบครัว " สานใจไทยสู่ใจใต้ " รุ่นที่ 33 จังหวัดอ่างทอง</t>
  </si>
  <si>
    <t>เริ่ม 21 ต.ค. 60 สิ้นสุด 
18 เม.ย. 61
ขยาย 26 มิ.ย.61</t>
  </si>
  <si>
    <t>(7) โครงการท่องเที่ยว อิ่มท้องสุขใจ ส่งเสริมวิถีไทย แต่งกายย้อนยุค</t>
  </si>
  <si>
    <t>สำนักงานพัฒนาฝีมือแรงงานจังหวัดอ่างทอง</t>
  </si>
  <si>
    <t>สำนักงานพัฒนาฝีมือแรงงานจังหวัด</t>
  </si>
  <si>
    <t>(8) โครงการนำความรู้สู่เยาวชนอ่างทอง เฉลิมพระเกียรติ 86 พรรษา 
มหาราชินี</t>
  </si>
  <si>
    <t>สนง.เกษตรและสหกรณ์จังหวัดอ่างทอง</t>
  </si>
  <si>
    <t xml:space="preserve"> - ห้องสุขาผู้สูงอายุ   จำนวน 61 ห้อง</t>
  </si>
  <si>
    <t>บริษัท มาราธอน ประเทศไทย จำกัด</t>
  </si>
  <si>
    <t>บริษัท 
สหพัฒนาการแพทย์
เมดิคอน</t>
  </si>
  <si>
    <t>เริ่ม 25 ม.ค.61 สิ้นสุด 
26 มี.ค.61</t>
  </si>
  <si>
    <t>เริ่ม 17 ม.ค.61 สิ้นสุด 
17 มี.ค.61</t>
  </si>
  <si>
    <t>เริ่ม 21 มี.ค.61 สิ้นสุด 
7 ก.ค.61</t>
  </si>
  <si>
    <t xml:space="preserve">4.1 ปรับปรุงภูมิทัศน์และสิ่งอำนวยความสะดวก แก่นักท่องเที่ยวณ วัดขุนอินทประมูล </t>
  </si>
  <si>
    <t>เริ่ม 27 มี.ค.61 สิ้นสุด 
26 เม.ย.61</t>
  </si>
  <si>
    <t>เริ่ม 30 มี.ค.61 สิ้นสุด 
28 มิ.ย.61</t>
  </si>
  <si>
    <t>เริ่ม 27 มี.ค.61 สิ้นสุด 
26 พ.ค.61</t>
  </si>
  <si>
    <t>ปรับแผนปฏิบัติงาน</t>
  </si>
  <si>
    <t>กิจกรรมก่อสร้างถนนคอนกรีตเสริมเหล็ก หมู่ที่ 6
ตำบลสามโก้ เชื่อมต่อหมู่ที่ 3 ตำบลมงคลธรรมนิมิต อำเภอสามโก้ จังหวัดอ่างทอง</t>
  </si>
  <si>
    <t>อำเภอสามโก้</t>
  </si>
  <si>
    <t>กิจกรรมก่อสร้างถนนคอนกรีตเสริมเหล็ก หมู่ที่ 1 
ตำบลราชสถิตย์ อำเภอไชโย จังหวัดอ่างทอง</t>
  </si>
  <si>
    <t>กิจกรรมก่อสร้างถนนคอนกรีตเสริมเหล็ก หมู่ที่ 2,3,4 ตำบลคลองขนาก เชื่อมต่อหมู่ที่ 5 ตำบลบางจัก 
อำเภอวิเศษชัยชาญ จังหวัดอ่างทอง</t>
  </si>
  <si>
    <t>นางสาวนันทวรรณ ทับทอง</t>
  </si>
  <si>
    <t>บริษัท เจทีพี ปู่สร้างเงิน คอนสตรัคชั่น</t>
  </si>
  <si>
    <t>โครงการ/กิจกรรม/รายการ</t>
  </si>
  <si>
    <t>งบประมาณที่ขออนุมัติ</t>
  </si>
  <si>
    <t>การลงพื้นที่ของทีมขับเคลื่อนการพัฒนาประเทศไทยตามโครงการไทยนิยม ยั่งยืน ระดับตำบล ครั้งที่ 3</t>
  </si>
  <si>
    <t>ค่าใช้จ่ายในการสนับสนุนการแก้ไขปัญหาความเดือดร้อนเร่งด่วนของประชาชนในจังหวัดอ่างทอง 
ประจำปีงบประมาณ พ.ศ. 2561 (งวดที่ 2) 
งบประมาณ 1,500,000 บาท (หนึ่งล้านห้าแสนบาทถ้วน)</t>
  </si>
  <si>
    <t>เบิกจ่าย
(ยืมเงิน)</t>
  </si>
  <si>
    <t>คงเหลือ 
(รอเบิก)</t>
  </si>
  <si>
    <t>เริ่ม 29 มี.ค.61 สิ้นสุด 
13 ธ.ค.61</t>
  </si>
  <si>
    <t>หจก.ประสิทธิ์รุ่งเรือง</t>
  </si>
  <si>
    <t>ข้อมูล ณ วันที่ 24 เมษายน 2561</t>
  </si>
  <si>
    <t xml:space="preserve"> - ที่ทำการปกครองจังหวัด
 - อำเภอสามโก้
- อำเภอแสวงหา</t>
  </si>
  <si>
    <t>กิจกรรมปรับปรุงซ่อมแซมถนนคอนกรีตเสริมเหล็กโดยการปูแอสฟัลท์ติกคอนกรีต สายที่ 3 (หมู่ที่ 4,5) 
ตำบลเอกราช อำเภอป่าโมก จังหวัดอ่างทอง</t>
  </si>
  <si>
    <t>อุปกรณ์ออกกำลังกาย จำนวน 34 ชุด</t>
  </si>
  <si>
    <t>รถพยาบาล (รถตู้) ปริมาตรกระบอกสูบไม่ต่ำกว่า 2,400 ซีซี จำนวน 1 คัน</t>
  </si>
  <si>
    <t>กล้องถ่ายภาพจอประสาทตาดิจิตอล จำนวน 1 เครื่อง</t>
  </si>
  <si>
    <t>เครื่องวัดความดัน BP digital จำนวน 873 เครื่อง</t>
  </si>
  <si>
    <t>ที่นอนลม จำนวน 104 ผืน</t>
  </si>
  <si>
    <t>หจก.ไทยเสรี ไทยประดิษฐ์</t>
  </si>
  <si>
    <t>เริ่ม 23 มี.ค.61 ถึง 21 มิ.ย.61</t>
  </si>
  <si>
    <t>เริ่ม 30 มี.ค.61 ถึง 28 มิ.ย.61</t>
  </si>
  <si>
    <t>บริษัท สมาร์ทเทคแอนด์แมท จำกัด</t>
  </si>
  <si>
    <t>หจก.เสนีย์ อ่างทองก่อสร้าง</t>
  </si>
  <si>
    <t xml:space="preserve"> - หจก.มหาราช ชัยมงคล
</t>
  </si>
  <si>
    <t xml:space="preserve"> - เริ่ม 23 มี.ค.61 ถึง 21 มิ.ย.61</t>
  </si>
  <si>
    <t xml:space="preserve">กิจกรรมที่ 1 ขบวนแห่ที่สุดสิ่งศักดิ์สิทธิ์
จาก ๗ อำเภอๆ ละ 40,000 บาท
</t>
  </si>
  <si>
    <t>กิจกรรมที่ ๒ ประกวดแข่งขันการทำอาหารประเภท ผัดไทย</t>
  </si>
  <si>
    <t>กิจกรรมที่ ๓ ประกวดหนูน้อยพี่ขุนเดช และหนูน้อยการเกด</t>
  </si>
  <si>
    <t>กิจกรรมที่ ๔ การประกวดรำวงย้อนยุค</t>
  </si>
  <si>
    <t>กิจกรรมที่ ๕ การประกวดร้องเพลงลูกทุ่ง</t>
  </si>
  <si>
    <t>กิจกรรมที่ ๖ การประกวดก่อพระเจดีย์ทราย</t>
  </si>
  <si>
    <t xml:space="preserve">กิจกรรมที่ ๗ การแข่งขันเรือยาว 
จาก ๗ อำเภอ ๑ อบจ.
</t>
  </si>
  <si>
    <t xml:space="preserve">ที่ทำการปกครองจังหวัดอ่างทอง
ที่ทำการปกครองอำเภอ 7อำเภอ
</t>
  </si>
  <si>
    <t>สำนักงานเกษตรและสหกรณ์จังหวัดอ่างทอง</t>
  </si>
  <si>
    <t>สำนักงานส่งเสริมการปกครองท้องถิ่นจังหวัดอ่างทอง</t>
  </si>
  <si>
    <t>สำนักงานการท่องเที่ยวและกีฬาจังหวัดอ่างทอง</t>
  </si>
  <si>
    <t xml:space="preserve">กิจกรรมที่ ๘ การแข่งขันเรือพาย 
(หัวใบ้ – ท้ายบอด)
</t>
  </si>
  <si>
    <t>กิจกรรมที่ ๙ การแข่งขันมวยทะเล</t>
  </si>
  <si>
    <t xml:space="preserve">กิจกรรมที่ ๑๐ การวิ่งมินิมาราธอน 
(แต่งกายชุดไทยย้อนยุค)
</t>
  </si>
  <si>
    <t>กิจกรรมที่ ๑๑ การประกวดส้มตำลีลา</t>
  </si>
  <si>
    <t>กิจกรรมที่ ๑๒ การแสดงดนตรีหน้าสวน</t>
  </si>
  <si>
    <t>กิจกรรมที่ ๑๓ การแสดงเพลงพื้นบ้าน</t>
  </si>
  <si>
    <t>กิจกรรมที่ ๑๔ การแสดงลิเกเด็ก</t>
  </si>
  <si>
    <t>กิจกรรมที่ ๑๕ การแสดงละเล่นพื้นบ้าน</t>
  </si>
  <si>
    <t>กิจกรรมที่ ๑๖ กิจกรรมตามหาออเจ้า</t>
  </si>
  <si>
    <t>กิจกรรมที่ ๑๗ แถลงข่าว</t>
  </si>
  <si>
    <t>สำนักงานพัฒนาชุมชนจังหวัดอ่างทอง</t>
  </si>
  <si>
    <t xml:space="preserve">กิจกรรมที่ ๒๐ พิธีการเปิดงาน และ
กองอำนวยการบริหารการจัดงาน
</t>
  </si>
  <si>
    <t>กิจกรรมที่ ๒๒ รถราง</t>
  </si>
  <si>
    <t xml:space="preserve">จ้างเหมาจัดงานปั่น อ่างทอง 5 ที่สุดสิ่งศักดิ์สิทธิ์  </t>
  </si>
  <si>
    <t>สำนักงานประชาสัมพันธ์จังหวัด</t>
  </si>
  <si>
    <t>กิจกรรมที่ ๑๘ การประชาสัมพันธ์
-สปอตวิทยุ
-ค่าจัดทำป้ายประชาสัมพันธ์/พร้อมติดตั้ง    
-รถแห่ จำนวน 3 คัน 5 วัน</t>
  </si>
  <si>
    <t xml:space="preserve">กิจกรรมที่ ๑๙ จัดการเกี่ยวกับสถานที่ 
- จ้างเหมาเช่าเต๊นท์สำหรับจัดกิจกรรม
- จ้างเหมาติดตั้งระบบไฟฟ้า พร้อมปลั๊ก
 ไฟส่องสว่างและเครื่องปั่นไฟ 
- จ้างเหมาติดตั้งเครื่องเสียง 
- ค่าตกแต่งสถานที่ 
- ค่าวัสดุอุปกรณ์ </t>
  </si>
  <si>
    <t>ที่ทำการปกครองจังหวัดอ่างทอง
สำนักงานการท่องเที่ยวและกีฬาจังหวัดอ่างทอง</t>
  </si>
  <si>
    <t>สำนักงานสถิติจังหวัดอ่างทอง</t>
  </si>
  <si>
    <t>กิจกรรมที่ ๒๑ การติดตามประเมินผล 
จำนวน ๔ วัน</t>
  </si>
  <si>
    <t>(12) โครงการเจริญพระพุทธมนต์เฉลิมพระเกียรติ ถวายเป็นพระราชกุศลและถวายพระพรชัยมงคลแด่สมเด็จพระเจ้าอยู่หัวมหาวชิราลงกรณ์บดินทรเทพยวรางกูร และสมเด็จพระนางเจ้าสิริกิติ์พระบรมราชินีนาถในรัชกาลที่ 9 จังหวัดอ่างทอง</t>
  </si>
  <si>
    <t>(13) โครงการท้องถิ่นสะอาด " ปราศจากขยะ " ของจังหวัดอ่างทอง ประจำปี พ.ศ. 2561</t>
  </si>
  <si>
    <t>สนง.ส่งเสริมการปกครองท้องถิ่นจังหวัดอ่างทอง</t>
  </si>
  <si>
    <t>3.1.2 ส่งเสริมการผลิตอาหารปลอดภัย "โรงเรียนเกษตรกรทำนา"</t>
  </si>
  <si>
    <t xml:space="preserve"> - ค่าอาหารสำหรับผู้เข้าร่วมเวทีประชาคม 1 มื้อๆ ละ 40 บาท จำนวน 63 หมู่บ้านๆ ละ 100 คน</t>
  </si>
  <si>
    <t xml:space="preserve"> - ค่าอาหารสำหรับผู้เข้าร่วมเวทีประชาคม 1 มื้อๆ ละ 40 บาท จำนวน 30 หมู่บ้านๆ ละ 100 คน</t>
  </si>
  <si>
    <t xml:space="preserve"> - ค่าอาหารสำหรับผู้เข้าร่วมเวทีประชาคม 1 มื้อๆ ละ 40 บาท จำนวน 19 หมู่บ้านๆ ละ 100 คน</t>
  </si>
  <si>
    <t xml:space="preserve"> - ค่าอาหารสำหรับผู้เข้าร่วมเวทีประชาคม 1 มื้อๆ ละ 40 บาท จำนวน 26 หมู่บ้านๆ ละ 100 คน</t>
  </si>
  <si>
    <t xml:space="preserve"> - ค่าอาหารสำหรับผู้เข้าร่วมเวทีประชาคม 1 มื้อๆ ละ 40 บาท จำนวน 54 หมู่บ้านๆ ละ 100 คน</t>
  </si>
  <si>
    <t xml:space="preserve"> - ค่าอาหารสำหรับผู้เข้าร่วมเวทีประชาคม 1 มื้อๆ ละ 40 บาท จำนวน 24 หมู่บ้านละ 100 คน</t>
  </si>
  <si>
    <t xml:space="preserve"> - ค่าอาหารสำหรับผู้เข้าร่วมเวทีประชาคม 1 มื้อๆ ละ 40 บาท จำนวน 52 หมู่บ้านละ 100 คน</t>
  </si>
  <si>
    <t>กิจกรรมขอปรับแผน</t>
  </si>
  <si>
    <t xml:space="preserve">ปรับปรุงบึงสีบัวทอง พร้อมอาคารประกอบ 
ตำบลสีบัวทอง อำเภอแสวงหา จังหวัดอ่างทอง
</t>
  </si>
  <si>
    <t xml:space="preserve">ปรับปรุงภูมิทัศน์และสิ่งอำนวยความสะดวก 
ณ วัดขุนอินทประมูล
- ก่อสร้างถนน คสล. พร้อมไฟฟ้าส่องสว่าง   
</t>
  </si>
  <si>
    <t>เริ่ม 1 พ.ค. 61
สิ้นสุด 
31 พ.ค. 61</t>
  </si>
  <si>
    <t>หจก.ดิวัน คอนสตัคชั่น สุพรรณบุรี</t>
  </si>
  <si>
    <t>ประกาศประกวดราคา</t>
  </si>
  <si>
    <t>ก่อสร้างลานอเนกประสงค์</t>
  </si>
  <si>
    <t>โครงการรักษาสมดุลธรรมชาติสิ่งแวดล้อม และพลังงาน</t>
  </si>
  <si>
    <t xml:space="preserve"> โครงการส่งเสริมการประชาสัมพันธ์เชิงรุก 
ด้านการท่องเที่ยว</t>
  </si>
  <si>
    <t>จัดทำป้ายบิลบอร์ดประชาสัมพันธ์งานรำลึกประพาสต้นล้นเกล้า รัชกาลที่ 5 งานมหกรรมหลองนานาชาติ</t>
  </si>
  <si>
    <t xml:space="preserve"> โครงการเสริมสร้างความปลอดภัยในชีวิตและทรัพย์สิน</t>
  </si>
  <si>
    <t xml:space="preserve">ค่ายปรับเปลี่ยนพฤติกรรม (ศูนย์ขวัญแผ่นดิน) </t>
  </si>
  <si>
    <t xml:space="preserve">ปรับปรุงภูมิทัศน์บริเวณหน้าที่ว่าการอำเภอวิเศษชัยชาญ </t>
  </si>
  <si>
    <t>อำเภอวิเศษ
ชัยชาญ</t>
  </si>
  <si>
    <t>สำนักงานประชาสัมพันธ์จังหวัดอ่างทอง</t>
  </si>
  <si>
    <t>ศอ.ปส.จ.อท.</t>
  </si>
  <si>
    <t>จัดซื้อชุดตรวจ วัดคุณภาพน้ำภาคสนาม</t>
  </si>
  <si>
    <t xml:space="preserve">เครื่องดูดเสมหะแบบเคลื่อนที่ได้ จำนวน 100 </t>
  </si>
  <si>
    <t>เตียงผู้ป่วยปรับระดับได้ จำนวน 185 เตียง</t>
  </si>
  <si>
    <t>เครื่องวัดความดัน BP digital 182 เครื่อง</t>
  </si>
  <si>
    <t>จัดทำเอกสารโครงการ</t>
  </si>
  <si>
    <t>รอ สงป.อนุมัติ</t>
  </si>
  <si>
    <t>(9) โครงการปรับปรุงซ่อมแซมป้ายประชาสัมพันธ์ทำเนียบผู้ดำรงตำแหน่งผู้ว่าราชการจังหวัดอ่างทอง</t>
  </si>
  <si>
    <t>ประเด็นยุทธศาสตร์ที่ 2 สร้างมูลค่าเพิ่มทางการท่องเที่ยวจากฐานความรู้ทางประวัติศาสตร์ ศิลปวัฒนธรรม และภูมิปัญญาท้องถิ่น</t>
  </si>
  <si>
    <t>โครงการส่งเสริมการตลาดและประชาสัมพันธ์การท่องเที่ยวเชิงรุก</t>
  </si>
  <si>
    <t xml:space="preserve">ปรับปรุงหนองระดำพร้อมอาคารประกอบ ตำบลหัวไผ่ อำเภอเมืองอ่างทอง จังหวัดอ่างทอง
</t>
  </si>
  <si>
    <t>2. โครงการปรับปรุงซ่อมแซมระบบท่อส่งน้ำประปาหมู่บ้าน 
หมู่ที่ 1 ตำบลบางเจ้าฉ่า อำเภอโพธิ์ทอง จังหวัดอ่างทอง</t>
  </si>
  <si>
    <t>3. โครงการปรับปรุงซ่อมแซมระบบท่อส่งน้ำประปาหมู่บ้าน 
หมู่ที่ 8 ตำบลบางเจ้าฉ่า อำเภอโพธิ์ทอง จังหวัดอ่างทอง</t>
  </si>
  <si>
    <t>(10) โครงการจัดทำป้ายประชาสัมพันธ์ " เชิญร่วมประกวดแต่งกายผ้าไทยย้อนยุคสมัยอยุธยา รัตนโกสินทร์ "</t>
  </si>
  <si>
    <t>ประกาศเชิญชวน</t>
  </si>
  <si>
    <t>แต่งตั้งคณะ
กรรมการกำหนด
ราคากลาง</t>
  </si>
  <si>
    <t>ข้อมูล ณ วันที่ 22 พฤษภาคม 2561</t>
  </si>
  <si>
    <t>วันที่ 22 พฤษภาคม 2561</t>
  </si>
  <si>
    <t>ข้อมูล ณ วันที่ 23 พฤษภาคม 2561</t>
  </si>
  <si>
    <t>ได้ตัวผู้รับจ้างแล้ว รออนุมัติจากสำนักงบประมาณ</t>
  </si>
  <si>
    <t>ได้ผู้ชนะแล้วรอผลอุทธรณ์ 7 วัน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</si>
</sst>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-* #,##0.00_-;\-* #,##0.00_-;_-* &quot;-&quot;_-;_-@_-"/>
  </numFmts>
  <fonts count="4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name val="TH SarabunPSK"/>
      <family val="2"/>
    </font>
    <font>
      <b/>
      <sz val="12"/>
      <color rgb="FFFF0000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  <charset val="1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0"/>
      <name val="TH SarabunPSK"/>
      <family val="2"/>
    </font>
    <font>
      <b/>
      <u/>
      <sz val="16"/>
      <name val="TH SarabunPSK"/>
      <family val="2"/>
    </font>
    <font>
      <b/>
      <sz val="11"/>
      <name val="TH SarabunPSK"/>
      <family val="2"/>
    </font>
    <font>
      <sz val="12"/>
      <color rgb="FFFF0000"/>
      <name val="TH SarabunPSK"/>
      <family val="2"/>
    </font>
    <font>
      <sz val="16"/>
      <color rgb="FFFF0000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sz val="16"/>
      <color theme="0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6"/>
      <color rgb="FFFF0000"/>
      <name val="TH SarabunIT๙"/>
      <family val="2"/>
    </font>
    <font>
      <b/>
      <sz val="16"/>
      <color rgb="FFFF0000"/>
      <name val="TH SarabunIT๙"/>
      <family val="2"/>
    </font>
    <font>
      <b/>
      <sz val="18"/>
      <name val="TH SarabunIT๙"/>
      <family val="2"/>
    </font>
    <font>
      <b/>
      <sz val="14"/>
      <color theme="0"/>
      <name val="TH SarabunPSK"/>
      <family val="2"/>
    </font>
    <font>
      <sz val="14"/>
      <name val="TH SarabunIT๙"/>
      <family val="2"/>
    </font>
    <font>
      <sz val="14"/>
      <color rgb="FFFF0000"/>
      <name val="TH SarabunPSK"/>
      <family val="2"/>
    </font>
    <font>
      <sz val="14"/>
      <color theme="1"/>
      <name val="TH SarabunIT๙"/>
      <family val="2"/>
    </font>
    <font>
      <b/>
      <sz val="14"/>
      <color rgb="FFFF0000"/>
      <name val="TH SarabunPSK"/>
      <family val="2"/>
    </font>
    <font>
      <b/>
      <sz val="13"/>
      <color theme="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3"/>
      <name val="TH SarabunIT๙"/>
      <family val="2"/>
    </font>
    <font>
      <sz val="13"/>
      <color rgb="FFFF0000"/>
      <name val="TH SarabunPSK"/>
      <family val="2"/>
    </font>
    <font>
      <b/>
      <sz val="13"/>
      <color rgb="FFFF000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rgb="FFFF0000"/>
      <name val="TH SarabunIT๙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IT๙"/>
      <family val="2"/>
    </font>
    <font>
      <sz val="16"/>
      <color rgb="FF000000"/>
      <name val="TH SarabunPSK"/>
      <family val="2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9DA74"/>
        <bgColor indexed="64"/>
      </patternFill>
    </fill>
    <fill>
      <patternFill patternType="solid">
        <fgColor rgb="FFFEC6DA"/>
        <bgColor indexed="64"/>
      </patternFill>
    </fill>
    <fill>
      <patternFill patternType="solid">
        <fgColor rgb="FFFEDEE9"/>
        <bgColor indexed="64"/>
      </patternFill>
    </fill>
    <fill>
      <patternFill patternType="solid">
        <fgColor rgb="FFFE8AB6"/>
        <bgColor indexed="64"/>
      </patternFill>
    </fill>
    <fill>
      <patternFill patternType="solid">
        <fgColor rgb="FFFEB4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40">
    <xf numFmtId="0" fontId="0" fillId="0" borderId="0" xfId="0"/>
    <xf numFmtId="0" fontId="11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vertical="center" wrapText="1"/>
    </xf>
    <xf numFmtId="41" fontId="10" fillId="0" borderId="10" xfId="0" applyNumberFormat="1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top" wrapText="1"/>
    </xf>
    <xf numFmtId="41" fontId="10" fillId="5" borderId="10" xfId="0" applyNumberFormat="1" applyFont="1" applyFill="1" applyBorder="1" applyAlignment="1">
      <alignment vertical="top" wrapText="1"/>
    </xf>
    <xf numFmtId="0" fontId="10" fillId="5" borderId="10" xfId="0" applyFont="1" applyFill="1" applyBorder="1" applyAlignment="1">
      <alignment vertical="top" wrapText="1"/>
    </xf>
    <xf numFmtId="41" fontId="10" fillId="6" borderId="10" xfId="0" applyNumberFormat="1" applyFont="1" applyFill="1" applyBorder="1" applyAlignment="1">
      <alignment vertical="top" wrapText="1"/>
    </xf>
    <xf numFmtId="0" fontId="10" fillId="6" borderId="10" xfId="0" applyFont="1" applyFill="1" applyBorder="1" applyAlignment="1">
      <alignment vertical="top" wrapText="1"/>
    </xf>
    <xf numFmtId="0" fontId="10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vertical="top" wrapText="1"/>
    </xf>
    <xf numFmtId="41" fontId="10" fillId="0" borderId="10" xfId="37" applyNumberFormat="1" applyFont="1" applyFill="1" applyBorder="1" applyAlignment="1">
      <alignment horizontal="right" vertical="top" wrapText="1"/>
    </xf>
    <xf numFmtId="0" fontId="10" fillId="0" borderId="0" xfId="0" applyFont="1" applyFill="1" applyAlignment="1">
      <alignment vertical="top" wrapText="1"/>
    </xf>
    <xf numFmtId="41" fontId="11" fillId="7" borderId="10" xfId="0" applyNumberFormat="1" applyFont="1" applyFill="1" applyBorder="1" applyAlignment="1">
      <alignment horizontal="left" vertical="top" wrapText="1"/>
    </xf>
    <xf numFmtId="41" fontId="10" fillId="8" borderId="10" xfId="0" applyNumberFormat="1" applyFont="1" applyFill="1" applyBorder="1" applyAlignment="1">
      <alignment vertical="top" wrapText="1"/>
    </xf>
    <xf numFmtId="0" fontId="11" fillId="9" borderId="0" xfId="0" applyFont="1" applyFill="1" applyAlignment="1">
      <alignment vertical="top" wrapText="1"/>
    </xf>
    <xf numFmtId="0" fontId="10" fillId="4" borderId="6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center" vertical="top" wrapText="1"/>
    </xf>
    <xf numFmtId="41" fontId="11" fillId="0" borderId="0" xfId="0" applyNumberFormat="1" applyFont="1" applyFill="1" applyAlignment="1">
      <alignment vertical="top" wrapText="1"/>
    </xf>
    <xf numFmtId="0" fontId="11" fillId="0" borderId="0" xfId="0" applyFont="1" applyFill="1" applyAlignment="1">
      <alignment horizontal="left" vertical="top" wrapText="1"/>
    </xf>
    <xf numFmtId="0" fontId="2" fillId="7" borderId="10" xfId="0" applyFont="1" applyFill="1" applyBorder="1" applyAlignment="1">
      <alignment vertical="top" wrapText="1"/>
    </xf>
    <xf numFmtId="0" fontId="4" fillId="8" borderId="10" xfId="0" applyFont="1" applyFill="1" applyBorder="1" applyAlignment="1">
      <alignment vertical="top" wrapText="1"/>
    </xf>
    <xf numFmtId="0" fontId="2" fillId="4" borderId="10" xfId="0" applyFont="1" applyFill="1" applyBorder="1" applyAlignment="1">
      <alignment vertical="top" wrapText="1"/>
    </xf>
    <xf numFmtId="0" fontId="4" fillId="5" borderId="1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horizontal="center" vertical="top" wrapText="1"/>
    </xf>
    <xf numFmtId="0" fontId="10" fillId="9" borderId="0" xfId="1" applyFont="1" applyFill="1" applyAlignment="1">
      <alignment vertical="top"/>
    </xf>
    <xf numFmtId="0" fontId="11" fillId="9" borderId="0" xfId="1" applyFont="1" applyFill="1" applyAlignment="1">
      <alignment horizontal="center" vertical="top"/>
    </xf>
    <xf numFmtId="0" fontId="11" fillId="9" borderId="0" xfId="1" applyFont="1" applyFill="1" applyBorder="1" applyAlignment="1">
      <alignment horizontal="center" vertical="top"/>
    </xf>
    <xf numFmtId="0" fontId="11" fillId="9" borderId="0" xfId="1" applyFont="1" applyFill="1" applyAlignment="1">
      <alignment horizontal="center" vertical="center"/>
    </xf>
    <xf numFmtId="41" fontId="10" fillId="9" borderId="11" xfId="0" applyNumberFormat="1" applyFont="1" applyFill="1" applyBorder="1" applyAlignment="1">
      <alignment horizontal="center" vertical="center" wrapText="1"/>
    </xf>
    <xf numFmtId="41" fontId="10" fillId="9" borderId="10" xfId="1" applyNumberFormat="1" applyFont="1" applyFill="1" applyBorder="1" applyAlignment="1">
      <alignment horizontal="left" vertical="top"/>
    </xf>
    <xf numFmtId="41" fontId="10" fillId="9" borderId="10" xfId="1" applyNumberFormat="1" applyFont="1" applyFill="1" applyBorder="1" applyAlignment="1">
      <alignment horizontal="left" vertical="top" wrapText="1"/>
    </xf>
    <xf numFmtId="0" fontId="10" fillId="9" borderId="13" xfId="1" applyFont="1" applyFill="1" applyBorder="1" applyAlignment="1">
      <alignment horizontal="center" vertical="top"/>
    </xf>
    <xf numFmtId="0" fontId="11" fillId="9" borderId="10" xfId="0" applyFont="1" applyFill="1" applyBorder="1" applyAlignment="1">
      <alignment horizontal="left" vertical="top"/>
    </xf>
    <xf numFmtId="41" fontId="10" fillId="9" borderId="10" xfId="1" applyNumberFormat="1" applyFont="1" applyFill="1" applyBorder="1" applyAlignment="1">
      <alignment horizontal="center" vertical="top"/>
    </xf>
    <xf numFmtId="0" fontId="10" fillId="9" borderId="12" xfId="1" applyFont="1" applyFill="1" applyBorder="1" applyAlignment="1">
      <alignment horizontal="center" vertical="top"/>
    </xf>
    <xf numFmtId="0" fontId="10" fillId="9" borderId="5" xfId="1" applyFont="1" applyFill="1" applyBorder="1" applyAlignment="1">
      <alignment horizontal="center" vertical="top"/>
    </xf>
    <xf numFmtId="41" fontId="11" fillId="9" borderId="11" xfId="0" applyNumberFormat="1" applyFont="1" applyFill="1" applyBorder="1" applyAlignment="1">
      <alignment vertical="top"/>
    </xf>
    <xf numFmtId="41" fontId="11" fillId="9" borderId="8" xfId="0" applyNumberFormat="1" applyFont="1" applyFill="1" applyBorder="1" applyAlignment="1">
      <alignment vertical="top"/>
    </xf>
    <xf numFmtId="0" fontId="2" fillId="9" borderId="10" xfId="0" applyFont="1" applyFill="1" applyBorder="1" applyAlignment="1">
      <alignment horizontal="center" vertical="center" wrapText="1"/>
    </xf>
    <xf numFmtId="0" fontId="10" fillId="9" borderId="8" xfId="1" applyFont="1" applyFill="1" applyBorder="1" applyAlignment="1">
      <alignment horizontal="center" vertical="top"/>
    </xf>
    <xf numFmtId="0" fontId="10" fillId="9" borderId="1" xfId="1" applyFont="1" applyFill="1" applyBorder="1" applyAlignment="1">
      <alignment horizontal="center" vertical="top"/>
    </xf>
    <xf numFmtId="0" fontId="11" fillId="9" borderId="9" xfId="1" applyFont="1" applyFill="1" applyBorder="1" applyAlignment="1">
      <alignment horizontal="left" vertical="top" wrapText="1"/>
    </xf>
    <xf numFmtId="41" fontId="11" fillId="9" borderId="12" xfId="0" applyNumberFormat="1" applyFont="1" applyFill="1" applyBorder="1" applyAlignment="1">
      <alignment vertical="top"/>
    </xf>
    <xf numFmtId="0" fontId="2" fillId="9" borderId="10" xfId="0" applyFont="1" applyFill="1" applyBorder="1" applyAlignment="1">
      <alignment horizontal="center" vertical="center"/>
    </xf>
    <xf numFmtId="0" fontId="10" fillId="9" borderId="0" xfId="1" applyFont="1" applyFill="1" applyBorder="1" applyAlignment="1">
      <alignment horizontal="center" vertical="top"/>
    </xf>
    <xf numFmtId="41" fontId="11" fillId="9" borderId="10" xfId="0" applyNumberFormat="1" applyFont="1" applyFill="1" applyBorder="1" applyAlignment="1">
      <alignment vertical="top"/>
    </xf>
    <xf numFmtId="0" fontId="10" fillId="9" borderId="2" xfId="1" applyFont="1" applyFill="1" applyBorder="1" applyAlignment="1">
      <alignment horizontal="center" vertical="top"/>
    </xf>
    <xf numFmtId="0" fontId="10" fillId="9" borderId="3" xfId="1" applyFont="1" applyFill="1" applyBorder="1" applyAlignment="1">
      <alignment horizontal="center" vertical="top"/>
    </xf>
    <xf numFmtId="0" fontId="2" fillId="9" borderId="11" xfId="0" applyFont="1" applyFill="1" applyBorder="1" applyAlignment="1">
      <alignment horizontal="center" vertical="center"/>
    </xf>
    <xf numFmtId="0" fontId="11" fillId="9" borderId="8" xfId="1" applyFont="1" applyFill="1" applyBorder="1" applyAlignment="1">
      <alignment horizontal="center" vertical="top"/>
    </xf>
    <xf numFmtId="0" fontId="11" fillId="9" borderId="1" xfId="1" applyFont="1" applyFill="1" applyBorder="1" applyAlignment="1">
      <alignment horizontal="center" vertical="top"/>
    </xf>
    <xf numFmtId="0" fontId="11" fillId="9" borderId="12" xfId="1" applyFont="1" applyFill="1" applyBorder="1" applyAlignment="1">
      <alignment horizontal="center" vertical="top"/>
    </xf>
    <xf numFmtId="0" fontId="11" fillId="9" borderId="5" xfId="1" applyFont="1" applyFill="1" applyBorder="1" applyAlignment="1">
      <alignment horizontal="center" vertical="top"/>
    </xf>
    <xf numFmtId="0" fontId="11" fillId="9" borderId="13" xfId="1" applyFont="1" applyFill="1" applyBorder="1" applyAlignment="1">
      <alignment horizontal="center" vertical="top"/>
    </xf>
    <xf numFmtId="0" fontId="11" fillId="9" borderId="6" xfId="1" applyFont="1" applyFill="1" applyBorder="1" applyAlignment="1">
      <alignment vertical="top" wrapText="1"/>
    </xf>
    <xf numFmtId="0" fontId="10" fillId="9" borderId="5" xfId="1" applyFont="1" applyFill="1" applyBorder="1" applyAlignment="1">
      <alignment vertical="top" wrapText="1"/>
    </xf>
    <xf numFmtId="41" fontId="11" fillId="9" borderId="0" xfId="1" applyNumberFormat="1" applyFont="1" applyFill="1" applyAlignment="1">
      <alignment horizontal="center" vertical="top"/>
    </xf>
    <xf numFmtId="0" fontId="11" fillId="9" borderId="0" xfId="1" applyFont="1" applyFill="1" applyAlignment="1">
      <alignment horizontal="left" vertical="top"/>
    </xf>
    <xf numFmtId="0" fontId="10" fillId="9" borderId="12" xfId="1" applyFont="1" applyFill="1" applyBorder="1" applyAlignment="1">
      <alignment vertical="top" wrapText="1"/>
    </xf>
    <xf numFmtId="0" fontId="11" fillId="9" borderId="5" xfId="1" applyFont="1" applyFill="1" applyBorder="1" applyAlignment="1">
      <alignment vertical="top" wrapText="1"/>
    </xf>
    <xf numFmtId="41" fontId="11" fillId="9" borderId="11" xfId="1" applyNumberFormat="1" applyFont="1" applyFill="1" applyBorder="1" applyAlignment="1">
      <alignment horizontal="left" vertical="top"/>
    </xf>
    <xf numFmtId="0" fontId="10" fillId="9" borderId="5" xfId="1" applyFont="1" applyFill="1" applyBorder="1" applyAlignment="1">
      <alignment vertical="top"/>
    </xf>
    <xf numFmtId="0" fontId="10" fillId="9" borderId="1" xfId="1" applyFont="1" applyFill="1" applyBorder="1" applyAlignment="1">
      <alignment vertical="top" wrapText="1"/>
    </xf>
    <xf numFmtId="0" fontId="10" fillId="9" borderId="12" xfId="1" applyFont="1" applyFill="1" applyBorder="1" applyAlignment="1">
      <alignment vertical="top"/>
    </xf>
    <xf numFmtId="0" fontId="11" fillId="9" borderId="12" xfId="1" applyFont="1" applyFill="1" applyBorder="1" applyAlignment="1">
      <alignment vertical="top"/>
    </xf>
    <xf numFmtId="0" fontId="11" fillId="9" borderId="5" xfId="1" applyFont="1" applyFill="1" applyBorder="1" applyAlignment="1">
      <alignment vertical="top"/>
    </xf>
    <xf numFmtId="41" fontId="11" fillId="9" borderId="10" xfId="2" applyNumberFormat="1" applyFont="1" applyFill="1" applyBorder="1" applyAlignment="1">
      <alignment vertical="top"/>
    </xf>
    <xf numFmtId="41" fontId="10" fillId="9" borderId="11" xfId="0" applyNumberFormat="1" applyFont="1" applyFill="1" applyBorder="1" applyAlignment="1">
      <alignment vertical="top"/>
    </xf>
    <xf numFmtId="41" fontId="10" fillId="9" borderId="8" xfId="0" applyNumberFormat="1" applyFont="1" applyFill="1" applyBorder="1" applyAlignment="1">
      <alignment vertical="top"/>
    </xf>
    <xf numFmtId="0" fontId="4" fillId="9" borderId="10" xfId="0" applyFont="1" applyFill="1" applyBorder="1" applyAlignment="1">
      <alignment horizontal="center" vertical="center" wrapText="1"/>
    </xf>
    <xf numFmtId="41" fontId="11" fillId="9" borderId="10" xfId="1" applyNumberFormat="1" applyFont="1" applyFill="1" applyBorder="1" applyAlignment="1">
      <alignment horizontal="center" vertical="top"/>
    </xf>
    <xf numFmtId="41" fontId="10" fillId="9" borderId="10" xfId="0" applyNumberFormat="1" applyFont="1" applyFill="1" applyBorder="1" applyAlignment="1">
      <alignment vertical="top"/>
    </xf>
    <xf numFmtId="41" fontId="11" fillId="9" borderId="11" xfId="1" applyNumberFormat="1" applyFont="1" applyFill="1" applyBorder="1" applyAlignment="1">
      <alignment horizontal="center" vertical="top"/>
    </xf>
    <xf numFmtId="41" fontId="11" fillId="9" borderId="7" xfId="1" applyNumberFormat="1" applyFont="1" applyFill="1" applyBorder="1" applyAlignment="1">
      <alignment vertical="top" wrapText="1"/>
    </xf>
    <xf numFmtId="0" fontId="4" fillId="9" borderId="11" xfId="0" applyFont="1" applyFill="1" applyBorder="1" applyAlignment="1">
      <alignment horizontal="center" vertical="center" wrapText="1"/>
    </xf>
    <xf numFmtId="41" fontId="14" fillId="9" borderId="10" xfId="1" applyNumberFormat="1" applyFont="1" applyFill="1" applyBorder="1" applyAlignment="1">
      <alignment horizontal="center" vertical="center" wrapText="1"/>
    </xf>
    <xf numFmtId="43" fontId="10" fillId="9" borderId="10" xfId="37" applyFont="1" applyFill="1" applyBorder="1" applyAlignment="1">
      <alignment horizontal="left" vertical="top"/>
    </xf>
    <xf numFmtId="43" fontId="10" fillId="9" borderId="10" xfId="37" applyFont="1" applyFill="1" applyBorder="1" applyAlignment="1">
      <alignment horizontal="left" vertical="top" wrapText="1"/>
    </xf>
    <xf numFmtId="43" fontId="11" fillId="9" borderId="11" xfId="37" applyFont="1" applyFill="1" applyBorder="1" applyAlignment="1">
      <alignment horizontal="left" vertical="top"/>
    </xf>
    <xf numFmtId="43" fontId="11" fillId="9" borderId="10" xfId="37" applyFont="1" applyFill="1" applyBorder="1" applyAlignment="1">
      <alignment horizontal="center" vertical="top"/>
    </xf>
    <xf numFmtId="43" fontId="11" fillId="9" borderId="8" xfId="37" applyFont="1" applyFill="1" applyBorder="1" applyAlignment="1">
      <alignment vertical="top"/>
    </xf>
    <xf numFmtId="43" fontId="11" fillId="9" borderId="12" xfId="37" applyFont="1" applyFill="1" applyBorder="1" applyAlignment="1">
      <alignment vertical="top"/>
    </xf>
    <xf numFmtId="43" fontId="10" fillId="9" borderId="8" xfId="37" applyFont="1" applyFill="1" applyBorder="1" applyAlignment="1">
      <alignment vertical="top"/>
    </xf>
    <xf numFmtId="43" fontId="11" fillId="9" borderId="13" xfId="37" applyFont="1" applyFill="1" applyBorder="1" applyAlignment="1">
      <alignment vertical="top"/>
    </xf>
    <xf numFmtId="43" fontId="10" fillId="9" borderId="10" xfId="37" applyFont="1" applyFill="1" applyBorder="1" applyAlignment="1">
      <alignment vertical="top"/>
    </xf>
    <xf numFmtId="43" fontId="10" fillId="9" borderId="11" xfId="37" applyFont="1" applyFill="1" applyBorder="1" applyAlignment="1">
      <alignment vertical="top"/>
    </xf>
    <xf numFmtId="43" fontId="11" fillId="9" borderId="10" xfId="37" applyFont="1" applyFill="1" applyBorder="1" applyAlignment="1">
      <alignment vertical="top" wrapText="1"/>
    </xf>
    <xf numFmtId="43" fontId="11" fillId="9" borderId="11" xfId="37" applyFont="1" applyFill="1" applyBorder="1" applyAlignment="1">
      <alignment horizontal="center" vertical="top"/>
    </xf>
    <xf numFmtId="43" fontId="10" fillId="9" borderId="10" xfId="37" applyFont="1" applyFill="1" applyBorder="1" applyAlignment="1">
      <alignment horizontal="center" vertical="top"/>
    </xf>
    <xf numFmtId="43" fontId="11" fillId="9" borderId="10" xfId="37" applyFont="1" applyFill="1" applyBorder="1" applyAlignment="1">
      <alignment vertical="top"/>
    </xf>
    <xf numFmtId="41" fontId="12" fillId="9" borderId="1" xfId="1" applyNumberFormat="1" applyFont="1" applyFill="1" applyBorder="1" applyAlignment="1">
      <alignment vertical="top"/>
    </xf>
    <xf numFmtId="41" fontId="9" fillId="9" borderId="1" xfId="1" applyNumberFormat="1" applyFont="1" applyFill="1" applyBorder="1" applyAlignment="1">
      <alignment vertical="top"/>
    </xf>
    <xf numFmtId="15" fontId="10" fillId="9" borderId="0" xfId="1" applyNumberFormat="1" applyFont="1" applyFill="1" applyAlignment="1">
      <alignment horizontal="center" vertical="top"/>
    </xf>
    <xf numFmtId="17" fontId="10" fillId="9" borderId="0" xfId="1" applyNumberFormat="1" applyFont="1" applyFill="1" applyAlignment="1">
      <alignment horizontal="center" vertical="top"/>
    </xf>
    <xf numFmtId="41" fontId="11" fillId="0" borderId="10" xfId="0" applyNumberFormat="1" applyFont="1" applyFill="1" applyBorder="1" applyAlignment="1">
      <alignment vertical="top" wrapText="1"/>
    </xf>
    <xf numFmtId="0" fontId="10" fillId="9" borderId="12" xfId="29" applyFont="1" applyFill="1" applyBorder="1" applyAlignment="1">
      <alignment horizontal="center" vertical="top"/>
    </xf>
    <xf numFmtId="41" fontId="10" fillId="9" borderId="9" xfId="0" applyNumberFormat="1" applyFont="1" applyFill="1" applyBorder="1" applyAlignment="1">
      <alignment horizontal="right" vertical="top"/>
    </xf>
    <xf numFmtId="41" fontId="10" fillId="9" borderId="6" xfId="0" applyNumberFormat="1" applyFont="1" applyFill="1" applyBorder="1" applyAlignment="1">
      <alignment horizontal="right" vertical="top"/>
    </xf>
    <xf numFmtId="0" fontId="2" fillId="9" borderId="10" xfId="29" applyFont="1" applyFill="1" applyBorder="1" applyAlignment="1">
      <alignment horizontal="center" vertical="center" wrapText="1"/>
    </xf>
    <xf numFmtId="41" fontId="10" fillId="9" borderId="10" xfId="0" applyNumberFormat="1" applyFont="1" applyFill="1" applyBorder="1" applyAlignment="1">
      <alignment horizontal="right" vertical="top"/>
    </xf>
    <xf numFmtId="41" fontId="10" fillId="0" borderId="10" xfId="0" applyNumberFormat="1" applyFont="1" applyFill="1" applyBorder="1" applyAlignment="1">
      <alignment vertical="top" wrapText="1"/>
    </xf>
    <xf numFmtId="41" fontId="10" fillId="4" borderId="10" xfId="0" applyNumberFormat="1" applyFont="1" applyFill="1" applyBorder="1" applyAlignment="1">
      <alignment vertical="top" wrapText="1"/>
    </xf>
    <xf numFmtId="41" fontId="10" fillId="0" borderId="10" xfId="37" applyNumberFormat="1" applyFont="1" applyFill="1" applyBorder="1" applyAlignment="1">
      <alignment vertical="top" wrapText="1"/>
    </xf>
    <xf numFmtId="41" fontId="11" fillId="7" borderId="10" xfId="0" applyNumberFormat="1" applyFont="1" applyFill="1" applyBorder="1" applyAlignment="1">
      <alignment vertical="top" wrapText="1"/>
    </xf>
    <xf numFmtId="43" fontId="10" fillId="4" borderId="10" xfId="37" applyFont="1" applyFill="1" applyBorder="1" applyAlignment="1">
      <alignment horizontal="right" vertical="top" wrapText="1"/>
    </xf>
    <xf numFmtId="43" fontId="10" fillId="9" borderId="10" xfId="37" applyFont="1" applyFill="1" applyBorder="1" applyAlignment="1">
      <alignment horizontal="right" vertical="top"/>
    </xf>
    <xf numFmtId="43" fontId="11" fillId="9" borderId="10" xfId="37" applyFont="1" applyFill="1" applyBorder="1" applyAlignment="1">
      <alignment horizontal="right" vertical="top"/>
    </xf>
    <xf numFmtId="43" fontId="10" fillId="9" borderId="12" xfId="37" applyFont="1" applyFill="1" applyBorder="1" applyAlignment="1">
      <alignment vertical="top"/>
    </xf>
    <xf numFmtId="0" fontId="11" fillId="3" borderId="12" xfId="1" applyFont="1" applyFill="1" applyBorder="1" applyAlignment="1">
      <alignment vertical="top"/>
    </xf>
    <xf numFmtId="0" fontId="10" fillId="3" borderId="5" xfId="1" applyFont="1" applyFill="1" applyBorder="1" applyAlignment="1">
      <alignment horizontal="left" vertical="top"/>
    </xf>
    <xf numFmtId="0" fontId="11" fillId="3" borderId="6" xfId="1" applyFont="1" applyFill="1" applyBorder="1" applyAlignment="1">
      <alignment horizontal="left" vertical="top"/>
    </xf>
    <xf numFmtId="41" fontId="11" fillId="3" borderId="10" xfId="0" applyNumberFormat="1" applyFont="1" applyFill="1" applyBorder="1" applyAlignment="1">
      <alignment vertical="top"/>
    </xf>
    <xf numFmtId="43" fontId="11" fillId="3" borderId="10" xfId="37" applyFont="1" applyFill="1" applyBorder="1" applyAlignment="1">
      <alignment vertical="top"/>
    </xf>
    <xf numFmtId="43" fontId="11" fillId="3" borderId="10" xfId="37" applyFont="1" applyFill="1" applyBorder="1" applyAlignment="1">
      <alignment horizontal="right" vertical="top"/>
    </xf>
    <xf numFmtId="0" fontId="2" fillId="3" borderId="10" xfId="0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left" vertical="top" wrapText="1"/>
    </xf>
    <xf numFmtId="41" fontId="18" fillId="9" borderId="10" xfId="1" applyNumberFormat="1" applyFont="1" applyFill="1" applyBorder="1" applyAlignment="1">
      <alignment horizontal="center" vertical="center" wrapText="1"/>
    </xf>
    <xf numFmtId="43" fontId="11" fillId="9" borderId="8" xfId="0" applyNumberFormat="1" applyFont="1" applyFill="1" applyBorder="1" applyAlignment="1">
      <alignment vertical="top"/>
    </xf>
    <xf numFmtId="43" fontId="11" fillId="9" borderId="10" xfId="0" applyNumberFormat="1" applyFont="1" applyFill="1" applyBorder="1" applyAlignment="1">
      <alignment horizontal="right" vertical="top"/>
    </xf>
    <xf numFmtId="0" fontId="10" fillId="10" borderId="10" xfId="16" applyFont="1" applyFill="1" applyBorder="1" applyAlignment="1">
      <alignment horizontal="center" vertical="center"/>
    </xf>
    <xf numFmtId="0" fontId="11" fillId="11" borderId="10" xfId="16" applyFont="1" applyFill="1" applyBorder="1" applyAlignment="1">
      <alignment horizontal="center" vertical="top"/>
    </xf>
    <xf numFmtId="0" fontId="11" fillId="11" borderId="10" xfId="16" applyFont="1" applyFill="1" applyBorder="1" applyAlignment="1">
      <alignment horizontal="left" wrapText="1"/>
    </xf>
    <xf numFmtId="43" fontId="11" fillId="11" borderId="10" xfId="5" applyFont="1" applyFill="1" applyBorder="1" applyAlignment="1">
      <alignment horizontal="right" vertical="top"/>
    </xf>
    <xf numFmtId="43" fontId="16" fillId="11" borderId="10" xfId="5" applyFont="1" applyFill="1" applyBorder="1" applyAlignment="1">
      <alignment horizontal="right" vertical="top"/>
    </xf>
    <xf numFmtId="2" fontId="16" fillId="11" borderId="10" xfId="16" applyNumberFormat="1" applyFont="1" applyFill="1" applyBorder="1" applyAlignment="1">
      <alignment horizontal="center" vertical="top"/>
    </xf>
    <xf numFmtId="43" fontId="11" fillId="11" borderId="10" xfId="16" applyNumberFormat="1" applyFont="1" applyFill="1" applyBorder="1" applyAlignment="1">
      <alignment horizontal="right" vertical="top"/>
    </xf>
    <xf numFmtId="0" fontId="11" fillId="11" borderId="10" xfId="16" applyFont="1" applyFill="1" applyBorder="1" applyAlignment="1">
      <alignment horizontal="center" vertical="top" wrapText="1"/>
    </xf>
    <xf numFmtId="0" fontId="10" fillId="10" borderId="10" xfId="16" applyFont="1" applyFill="1" applyBorder="1" applyAlignment="1">
      <alignment horizontal="center"/>
    </xf>
    <xf numFmtId="43" fontId="10" fillId="10" borderId="10" xfId="16" applyNumberFormat="1" applyFont="1" applyFill="1" applyBorder="1" applyAlignment="1">
      <alignment horizontal="right" vertical="top"/>
    </xf>
    <xf numFmtId="2" fontId="10" fillId="10" borderId="10" xfId="16" applyNumberFormat="1" applyFont="1" applyFill="1" applyBorder="1" applyAlignment="1">
      <alignment horizontal="center" vertical="top"/>
    </xf>
    <xf numFmtId="0" fontId="10" fillId="10" borderId="10" xfId="16" applyFont="1" applyFill="1" applyBorder="1" applyAlignment="1">
      <alignment horizontal="right" vertical="top"/>
    </xf>
    <xf numFmtId="0" fontId="11" fillId="3" borderId="5" xfId="1" applyFont="1" applyFill="1" applyBorder="1" applyAlignment="1">
      <alignment vertical="top"/>
    </xf>
    <xf numFmtId="0" fontId="10" fillId="3" borderId="5" xfId="1" applyFont="1" applyFill="1" applyBorder="1" applyAlignment="1">
      <alignment horizontal="left" vertical="top" wrapText="1"/>
    </xf>
    <xf numFmtId="41" fontId="18" fillId="3" borderId="10" xfId="1" applyNumberFormat="1" applyFont="1" applyFill="1" applyBorder="1" applyAlignment="1">
      <alignment horizontal="center" vertical="center" wrapText="1"/>
    </xf>
    <xf numFmtId="0" fontId="10" fillId="9" borderId="0" xfId="1" applyFont="1" applyFill="1" applyAlignment="1">
      <alignment horizontal="center" vertical="top"/>
    </xf>
    <xf numFmtId="0" fontId="10" fillId="9" borderId="8" xfId="1" applyFont="1" applyFill="1" applyBorder="1" applyAlignment="1">
      <alignment horizontal="left" vertical="top" wrapText="1"/>
    </xf>
    <xf numFmtId="41" fontId="10" fillId="9" borderId="11" xfId="1" applyNumberFormat="1" applyFont="1" applyFill="1" applyBorder="1" applyAlignment="1">
      <alignment horizontal="center" vertical="top"/>
    </xf>
    <xf numFmtId="41" fontId="10" fillId="9" borderId="8" xfId="1" applyNumberFormat="1" applyFont="1" applyFill="1" applyBorder="1" applyAlignment="1">
      <alignment horizontal="center" vertical="top"/>
    </xf>
    <xf numFmtId="43" fontId="10" fillId="9" borderId="8" xfId="37" applyFont="1" applyFill="1" applyBorder="1" applyAlignment="1">
      <alignment horizontal="center" vertical="top"/>
    </xf>
    <xf numFmtId="0" fontId="11" fillId="9" borderId="5" xfId="1" applyFont="1" applyFill="1" applyBorder="1" applyAlignment="1">
      <alignment horizontal="left" vertical="top" wrapText="1"/>
    </xf>
    <xf numFmtId="0" fontId="11" fillId="9" borderId="8" xfId="1" applyFont="1" applyFill="1" applyBorder="1" applyAlignment="1">
      <alignment horizontal="left" vertical="top" wrapText="1"/>
    </xf>
    <xf numFmtId="41" fontId="11" fillId="9" borderId="8" xfId="1" applyNumberFormat="1" applyFont="1" applyFill="1" applyBorder="1" applyAlignment="1">
      <alignment horizontal="center" vertical="top"/>
    </xf>
    <xf numFmtId="43" fontId="11" fillId="9" borderId="8" xfId="37" applyFont="1" applyFill="1" applyBorder="1" applyAlignment="1">
      <alignment horizontal="center" vertical="top"/>
    </xf>
    <xf numFmtId="43" fontId="11" fillId="9" borderId="8" xfId="37" applyFont="1" applyFill="1" applyBorder="1" applyAlignment="1">
      <alignment horizontal="center" vertical="top" wrapText="1"/>
    </xf>
    <xf numFmtId="0" fontId="22" fillId="9" borderId="0" xfId="1" applyFont="1" applyFill="1" applyAlignment="1">
      <alignment horizontal="center" vertical="top"/>
    </xf>
    <xf numFmtId="41" fontId="23" fillId="9" borderId="10" xfId="0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23" fillId="9" borderId="10" xfId="1" applyFont="1" applyFill="1" applyBorder="1" applyAlignment="1">
      <alignment horizontal="center" vertical="center"/>
    </xf>
    <xf numFmtId="0" fontId="23" fillId="9" borderId="10" xfId="1" applyFont="1" applyFill="1" applyBorder="1" applyAlignment="1">
      <alignment horizontal="center" vertical="top"/>
    </xf>
    <xf numFmtId="41" fontId="23" fillId="9" borderId="10" xfId="1" applyNumberFormat="1" applyFont="1" applyFill="1" applyBorder="1" applyAlignment="1">
      <alignment horizontal="left" vertical="top" wrapText="1"/>
    </xf>
    <xf numFmtId="43" fontId="23" fillId="9" borderId="10" xfId="37" applyFont="1" applyFill="1" applyBorder="1" applyAlignment="1">
      <alignment horizontal="left" vertical="top" wrapText="1"/>
    </xf>
    <xf numFmtId="43" fontId="23" fillId="9" borderId="12" xfId="37" applyFont="1" applyFill="1" applyBorder="1" applyAlignment="1">
      <alignment horizontal="left" vertical="top" wrapText="1"/>
    </xf>
    <xf numFmtId="0" fontId="23" fillId="9" borderId="8" xfId="1" applyFont="1" applyFill="1" applyBorder="1" applyAlignment="1">
      <alignment horizontal="center" vertical="top"/>
    </xf>
    <xf numFmtId="41" fontId="23" fillId="9" borderId="11" xfId="1" applyNumberFormat="1" applyFont="1" applyFill="1" applyBorder="1" applyAlignment="1">
      <alignment horizontal="center" vertical="top"/>
    </xf>
    <xf numFmtId="43" fontId="23" fillId="9" borderId="11" xfId="37" applyFont="1" applyFill="1" applyBorder="1" applyAlignment="1">
      <alignment horizontal="center" vertical="top"/>
    </xf>
    <xf numFmtId="0" fontId="22" fillId="9" borderId="10" xfId="0" applyFont="1" applyFill="1" applyBorder="1" applyAlignment="1">
      <alignment horizontal="center" vertical="center"/>
    </xf>
    <xf numFmtId="0" fontId="22" fillId="9" borderId="10" xfId="1" applyFont="1" applyFill="1" applyBorder="1" applyAlignment="1">
      <alignment horizontal="center" vertical="top"/>
    </xf>
    <xf numFmtId="0" fontId="22" fillId="9" borderId="12" xfId="1" applyFont="1" applyFill="1" applyBorder="1" applyAlignment="1">
      <alignment horizontal="center" vertical="top"/>
    </xf>
    <xf numFmtId="0" fontId="22" fillId="9" borderId="5" xfId="1" applyFont="1" applyFill="1" applyBorder="1" applyAlignment="1">
      <alignment horizontal="center" vertical="top"/>
    </xf>
    <xf numFmtId="0" fontId="22" fillId="9" borderId="6" xfId="1" applyFont="1" applyFill="1" applyBorder="1" applyAlignment="1">
      <alignment horizontal="left" vertical="top" wrapText="1"/>
    </xf>
    <xf numFmtId="41" fontId="22" fillId="9" borderId="10" xfId="0" applyNumberFormat="1" applyFont="1" applyFill="1" applyBorder="1" applyAlignment="1">
      <alignment vertical="top"/>
    </xf>
    <xf numFmtId="41" fontId="22" fillId="9" borderId="8" xfId="0" applyNumberFormat="1" applyFont="1" applyFill="1" applyBorder="1" applyAlignment="1">
      <alignment horizontal="center" vertical="center" wrapText="1"/>
    </xf>
    <xf numFmtId="43" fontId="22" fillId="9" borderId="10" xfId="37" applyFont="1" applyFill="1" applyBorder="1" applyAlignment="1">
      <alignment vertical="top"/>
    </xf>
    <xf numFmtId="43" fontId="22" fillId="9" borderId="12" xfId="37" applyFont="1" applyFill="1" applyBorder="1" applyAlignment="1">
      <alignment vertical="top"/>
    </xf>
    <xf numFmtId="0" fontId="22" fillId="9" borderId="10" xfId="0" applyFont="1" applyFill="1" applyBorder="1" applyAlignment="1">
      <alignment horizontal="center" vertical="center" wrapText="1"/>
    </xf>
    <xf numFmtId="41" fontId="22" fillId="9" borderId="5" xfId="0" applyNumberFormat="1" applyFont="1" applyFill="1" applyBorder="1" applyAlignment="1">
      <alignment vertical="top"/>
    </xf>
    <xf numFmtId="41" fontId="22" fillId="9" borderId="10" xfId="0" applyNumberFormat="1" applyFont="1" applyFill="1" applyBorder="1" applyAlignment="1">
      <alignment horizontal="center" vertical="center" wrapText="1"/>
    </xf>
    <xf numFmtId="41" fontId="22" fillId="9" borderId="12" xfId="0" applyNumberFormat="1" applyFont="1" applyFill="1" applyBorder="1" applyAlignment="1">
      <alignment vertical="top"/>
    </xf>
    <xf numFmtId="0" fontId="22" fillId="9" borderId="13" xfId="1" applyFont="1" applyFill="1" applyBorder="1" applyAlignment="1">
      <alignment horizontal="center" vertical="top"/>
    </xf>
    <xf numFmtId="0" fontId="22" fillId="9" borderId="0" xfId="1" applyFont="1" applyFill="1" applyBorder="1" applyAlignment="1">
      <alignment horizontal="center" vertical="top"/>
    </xf>
    <xf numFmtId="0" fontId="24" fillId="9" borderId="14" xfId="1" applyFont="1" applyFill="1" applyBorder="1" applyAlignment="1">
      <alignment horizontal="left" vertical="top" wrapText="1"/>
    </xf>
    <xf numFmtId="41" fontId="24" fillId="9" borderId="15" xfId="0" applyNumberFormat="1" applyFont="1" applyFill="1" applyBorder="1" applyAlignment="1">
      <alignment vertical="top"/>
    </xf>
    <xf numFmtId="41" fontId="24" fillId="9" borderId="13" xfId="0" applyNumberFormat="1" applyFont="1" applyFill="1" applyBorder="1" applyAlignment="1">
      <alignment vertical="top"/>
    </xf>
    <xf numFmtId="41" fontId="24" fillId="9" borderId="13" xfId="0" applyNumberFormat="1" applyFont="1" applyFill="1" applyBorder="1" applyAlignment="1">
      <alignment horizontal="center" vertical="center" wrapText="1"/>
    </xf>
    <xf numFmtId="43" fontId="24" fillId="9" borderId="13" xfId="37" applyFont="1" applyFill="1" applyBorder="1" applyAlignment="1">
      <alignment vertical="top"/>
    </xf>
    <xf numFmtId="43" fontId="22" fillId="9" borderId="13" xfId="37" applyFont="1" applyFill="1" applyBorder="1" applyAlignment="1">
      <alignment vertical="top"/>
    </xf>
    <xf numFmtId="0" fontId="24" fillId="9" borderId="15" xfId="0" applyFont="1" applyFill="1" applyBorder="1" applyAlignment="1">
      <alignment horizontal="center" vertical="center" wrapText="1"/>
    </xf>
    <xf numFmtId="41" fontId="22" fillId="9" borderId="10" xfId="2" applyNumberFormat="1" applyFont="1" applyFill="1" applyBorder="1" applyAlignment="1">
      <alignment vertical="top"/>
    </xf>
    <xf numFmtId="41" fontId="22" fillId="9" borderId="10" xfId="3" applyNumberFormat="1" applyFont="1" applyFill="1" applyBorder="1" applyAlignment="1">
      <alignment vertical="top"/>
    </xf>
    <xf numFmtId="41" fontId="22" fillId="9" borderId="12" xfId="3" applyNumberFormat="1" applyFont="1" applyFill="1" applyBorder="1" applyAlignment="1">
      <alignment vertical="top"/>
    </xf>
    <xf numFmtId="41" fontId="22" fillId="9" borderId="8" xfId="3" applyNumberFormat="1" applyFont="1" applyFill="1" applyBorder="1" applyAlignment="1">
      <alignment vertical="top" wrapText="1"/>
    </xf>
    <xf numFmtId="0" fontId="24" fillId="9" borderId="10" xfId="0" applyFont="1" applyFill="1" applyBorder="1" applyAlignment="1">
      <alignment horizontal="center" vertical="center" wrapText="1"/>
    </xf>
    <xf numFmtId="0" fontId="22" fillId="9" borderId="8" xfId="1" applyFont="1" applyFill="1" applyBorder="1" applyAlignment="1">
      <alignment horizontal="center" vertical="top"/>
    </xf>
    <xf numFmtId="0" fontId="22" fillId="9" borderId="1" xfId="1" applyFont="1" applyFill="1" applyBorder="1" applyAlignment="1">
      <alignment horizontal="center" vertical="top"/>
    </xf>
    <xf numFmtId="0" fontId="22" fillId="9" borderId="9" xfId="1" applyFont="1" applyFill="1" applyBorder="1" applyAlignment="1">
      <alignment horizontal="left" vertical="top" wrapText="1"/>
    </xf>
    <xf numFmtId="41" fontId="22" fillId="9" borderId="11" xfId="2" applyNumberFormat="1" applyFont="1" applyFill="1" applyBorder="1" applyAlignment="1">
      <alignment vertical="top"/>
    </xf>
    <xf numFmtId="41" fontId="22" fillId="9" borderId="11" xfId="3" applyNumberFormat="1" applyFont="1" applyFill="1" applyBorder="1" applyAlignment="1">
      <alignment vertical="top"/>
    </xf>
    <xf numFmtId="41" fontId="22" fillId="9" borderId="8" xfId="3" applyNumberFormat="1" applyFont="1" applyFill="1" applyBorder="1" applyAlignment="1">
      <alignment vertical="top"/>
    </xf>
    <xf numFmtId="41" fontId="22" fillId="9" borderId="8" xfId="3" applyNumberFormat="1" applyFont="1" applyFill="1" applyBorder="1" applyAlignment="1">
      <alignment horizontal="center" vertical="center" wrapText="1"/>
    </xf>
    <xf numFmtId="43" fontId="22" fillId="9" borderId="8" xfId="37" applyFont="1" applyFill="1" applyBorder="1" applyAlignment="1">
      <alignment vertical="top"/>
    </xf>
    <xf numFmtId="0" fontId="24" fillId="9" borderId="11" xfId="0" applyFont="1" applyFill="1" applyBorder="1" applyAlignment="1">
      <alignment horizontal="center" vertical="center" wrapText="1"/>
    </xf>
    <xf numFmtId="41" fontId="23" fillId="9" borderId="10" xfId="1" applyNumberFormat="1" applyFont="1" applyFill="1" applyBorder="1" applyAlignment="1">
      <alignment horizontal="center" vertical="top"/>
    </xf>
    <xf numFmtId="43" fontId="23" fillId="9" borderId="10" xfId="37" applyFont="1" applyFill="1" applyBorder="1" applyAlignment="1">
      <alignment horizontal="center" vertical="top"/>
    </xf>
    <xf numFmtId="0" fontId="23" fillId="9" borderId="12" xfId="1" applyFont="1" applyFill="1" applyBorder="1" applyAlignment="1">
      <alignment horizontal="center" vertical="top"/>
    </xf>
    <xf numFmtId="0" fontId="23" fillId="9" borderId="5" xfId="1" applyFont="1" applyFill="1" applyBorder="1" applyAlignment="1">
      <alignment horizontal="center" vertical="top"/>
    </xf>
    <xf numFmtId="0" fontId="23" fillId="9" borderId="2" xfId="1" applyFont="1" applyFill="1" applyBorder="1" applyAlignment="1">
      <alignment horizontal="center" vertical="top"/>
    </xf>
    <xf numFmtId="0" fontId="23" fillId="9" borderId="3" xfId="1" applyFont="1" applyFill="1" applyBorder="1" applyAlignment="1">
      <alignment horizontal="center" vertical="top"/>
    </xf>
    <xf numFmtId="41" fontId="22" fillId="9" borderId="11" xfId="0" applyNumberFormat="1" applyFont="1" applyFill="1" applyBorder="1" applyAlignment="1">
      <alignment vertical="top"/>
    </xf>
    <xf numFmtId="41" fontId="22" fillId="9" borderId="8" xfId="0" applyNumberFormat="1" applyFont="1" applyFill="1" applyBorder="1" applyAlignment="1">
      <alignment vertical="top"/>
    </xf>
    <xf numFmtId="0" fontId="23" fillId="9" borderId="5" xfId="1" applyFont="1" applyFill="1" applyBorder="1" applyAlignment="1">
      <alignment horizontal="left" vertical="top" wrapText="1"/>
    </xf>
    <xf numFmtId="41" fontId="22" fillId="9" borderId="12" xfId="0" applyNumberFormat="1" applyFont="1" applyFill="1" applyBorder="1" applyAlignment="1">
      <alignment horizontal="center" vertical="top" wrapText="1"/>
    </xf>
    <xf numFmtId="0" fontId="22" fillId="9" borderId="6" xfId="1" applyFont="1" applyFill="1" applyBorder="1" applyAlignment="1">
      <alignment vertical="top" wrapText="1"/>
    </xf>
    <xf numFmtId="41" fontId="22" fillId="9" borderId="8" xfId="0" applyNumberFormat="1" applyFont="1" applyFill="1" applyBorder="1" applyAlignment="1">
      <alignment horizontal="center" vertical="top" wrapText="1"/>
    </xf>
    <xf numFmtId="49" fontId="22" fillId="9" borderId="10" xfId="0" applyNumberFormat="1" applyFont="1" applyFill="1" applyBorder="1" applyAlignment="1">
      <alignment horizontal="center" vertical="center" wrapText="1"/>
    </xf>
    <xf numFmtId="49" fontId="22" fillId="9" borderId="11" xfId="0" applyNumberFormat="1" applyFont="1" applyFill="1" applyBorder="1" applyAlignment="1">
      <alignment horizontal="center" vertical="center" wrapText="1"/>
    </xf>
    <xf numFmtId="49" fontId="22" fillId="9" borderId="6" xfId="1" applyNumberFormat="1" applyFont="1" applyFill="1" applyBorder="1" applyAlignment="1">
      <alignment vertical="top" wrapText="1"/>
    </xf>
    <xf numFmtId="0" fontId="22" fillId="9" borderId="14" xfId="1" applyFont="1" applyFill="1" applyBorder="1" applyAlignment="1">
      <alignment vertical="top" wrapText="1"/>
    </xf>
    <xf numFmtId="0" fontId="22" fillId="9" borderId="11" xfId="0" applyFont="1" applyFill="1" applyBorder="1" applyAlignment="1">
      <alignment horizontal="center" vertical="center"/>
    </xf>
    <xf numFmtId="41" fontId="24" fillId="9" borderId="12" xfId="0" applyNumberFormat="1" applyFont="1" applyFill="1" applyBorder="1" applyAlignment="1">
      <alignment horizontal="center" vertical="top" wrapText="1"/>
    </xf>
    <xf numFmtId="41" fontId="24" fillId="9" borderId="10" xfId="0" applyNumberFormat="1" applyFont="1" applyFill="1" applyBorder="1" applyAlignment="1">
      <alignment horizontal="center" vertical="top" wrapText="1"/>
    </xf>
    <xf numFmtId="41" fontId="25" fillId="9" borderId="6" xfId="0" applyNumberFormat="1" applyFont="1" applyFill="1" applyBorder="1" applyAlignment="1">
      <alignment horizontal="center" vertical="center"/>
    </xf>
    <xf numFmtId="43" fontId="25" fillId="9" borderId="6" xfId="37" applyFont="1" applyFill="1" applyBorder="1" applyAlignment="1">
      <alignment horizontal="center" vertical="center"/>
    </xf>
    <xf numFmtId="0" fontId="23" fillId="9" borderId="5" xfId="1" applyFont="1" applyFill="1" applyBorder="1" applyAlignment="1">
      <alignment vertical="top"/>
    </xf>
    <xf numFmtId="0" fontId="23" fillId="9" borderId="6" xfId="1" applyFont="1" applyFill="1" applyBorder="1" applyAlignment="1">
      <alignment vertical="top"/>
    </xf>
    <xf numFmtId="0" fontId="22" fillId="9" borderId="11" xfId="0" applyFont="1" applyFill="1" applyBorder="1" applyAlignment="1">
      <alignment horizontal="center" vertical="center" wrapText="1"/>
    </xf>
    <xf numFmtId="0" fontId="22" fillId="9" borderId="7" xfId="0" applyFont="1" applyFill="1" applyBorder="1" applyAlignment="1">
      <alignment vertical="center" wrapText="1"/>
    </xf>
    <xf numFmtId="0" fontId="22" fillId="9" borderId="9" xfId="1" applyFont="1" applyFill="1" applyBorder="1" applyAlignment="1">
      <alignment horizontal="left" vertical="top"/>
    </xf>
    <xf numFmtId="41" fontId="22" fillId="9" borderId="11" xfId="1" applyNumberFormat="1" applyFont="1" applyFill="1" applyBorder="1" applyAlignment="1">
      <alignment vertical="top" wrapText="1"/>
    </xf>
    <xf numFmtId="0" fontId="22" fillId="9" borderId="7" xfId="0" applyFont="1" applyFill="1" applyBorder="1" applyAlignment="1">
      <alignment horizontal="center" vertical="center" wrapText="1"/>
    </xf>
    <xf numFmtId="41" fontId="23" fillId="9" borderId="10" xfId="1" applyNumberFormat="1" applyFont="1" applyFill="1" applyBorder="1" applyAlignment="1">
      <alignment vertical="top" wrapText="1"/>
    </xf>
    <xf numFmtId="43" fontId="23" fillId="9" borderId="10" xfId="37" applyFont="1" applyFill="1" applyBorder="1" applyAlignment="1">
      <alignment vertical="top" wrapText="1"/>
    </xf>
    <xf numFmtId="0" fontId="23" fillId="9" borderId="1" xfId="1" applyFont="1" applyFill="1" applyBorder="1" applyAlignment="1">
      <alignment horizontal="center" vertical="top"/>
    </xf>
    <xf numFmtId="0" fontId="23" fillId="9" borderId="13" xfId="1" applyFont="1" applyFill="1" applyBorder="1" applyAlignment="1">
      <alignment horizontal="center" vertical="top"/>
    </xf>
    <xf numFmtId="0" fontId="22" fillId="9" borderId="4" xfId="1" applyFont="1" applyFill="1" applyBorder="1" applyAlignment="1">
      <alignment horizontal="left" vertical="top" wrapText="1"/>
    </xf>
    <xf numFmtId="41" fontId="22" fillId="9" borderId="17" xfId="0" applyNumberFormat="1" applyFont="1" applyFill="1" applyBorder="1" applyAlignment="1">
      <alignment vertical="top"/>
    </xf>
    <xf numFmtId="43" fontId="22" fillId="9" borderId="17" xfId="37" applyFont="1" applyFill="1" applyBorder="1" applyAlignment="1">
      <alignment vertical="top"/>
    </xf>
    <xf numFmtId="43" fontId="22" fillId="9" borderId="2" xfId="37" applyFont="1" applyFill="1" applyBorder="1" applyAlignment="1">
      <alignment vertical="top"/>
    </xf>
    <xf numFmtId="41" fontId="22" fillId="9" borderId="7" xfId="0" applyNumberFormat="1" applyFont="1" applyFill="1" applyBorder="1" applyAlignment="1">
      <alignment vertical="top"/>
    </xf>
    <xf numFmtId="41" fontId="22" fillId="9" borderId="2" xfId="0" applyNumberFormat="1" applyFont="1" applyFill="1" applyBorder="1" applyAlignment="1">
      <alignment vertical="top"/>
    </xf>
    <xf numFmtId="41" fontId="22" fillId="9" borderId="2" xfId="0" applyNumberFormat="1" applyFont="1" applyFill="1" applyBorder="1" applyAlignment="1">
      <alignment horizontal="center" vertical="top" wrapText="1"/>
    </xf>
    <xf numFmtId="0" fontId="23" fillId="9" borderId="5" xfId="1" applyFont="1" applyFill="1" applyBorder="1" applyAlignment="1">
      <alignment vertical="top" wrapText="1"/>
    </xf>
    <xf numFmtId="0" fontId="22" fillId="9" borderId="5" xfId="1" applyFont="1" applyFill="1" applyBorder="1" applyAlignment="1">
      <alignment horizontal="left" vertical="top" wrapText="1"/>
    </xf>
    <xf numFmtId="41" fontId="22" fillId="9" borderId="6" xfId="0" applyNumberFormat="1" applyFont="1" applyFill="1" applyBorder="1" applyAlignment="1">
      <alignment horizontal="center" vertical="center" wrapText="1"/>
    </xf>
    <xf numFmtId="41" fontId="22" fillId="9" borderId="6" xfId="0" applyNumberFormat="1" applyFont="1" applyFill="1" applyBorder="1" applyAlignment="1">
      <alignment vertical="top"/>
    </xf>
    <xf numFmtId="43" fontId="22" fillId="9" borderId="6" xfId="37" applyFont="1" applyFill="1" applyBorder="1" applyAlignment="1">
      <alignment vertical="top"/>
    </xf>
    <xf numFmtId="0" fontId="24" fillId="9" borderId="6" xfId="0" applyFont="1" applyFill="1" applyBorder="1" applyAlignment="1">
      <alignment horizontal="center" vertical="center" wrapText="1"/>
    </xf>
    <xf numFmtId="0" fontId="22" fillId="9" borderId="1" xfId="1" applyFont="1" applyFill="1" applyBorder="1" applyAlignment="1">
      <alignment horizontal="left" vertical="top"/>
    </xf>
    <xf numFmtId="41" fontId="22" fillId="9" borderId="1" xfId="0" applyNumberFormat="1" applyFont="1" applyFill="1" applyBorder="1" applyAlignment="1">
      <alignment vertical="top"/>
    </xf>
    <xf numFmtId="41" fontId="22" fillId="9" borderId="9" xfId="0" applyNumberFormat="1" applyFont="1" applyFill="1" applyBorder="1" applyAlignment="1">
      <alignment vertical="top"/>
    </xf>
    <xf numFmtId="43" fontId="22" fillId="9" borderId="9" xfId="37" applyFont="1" applyFill="1" applyBorder="1" applyAlignment="1">
      <alignment vertical="top"/>
    </xf>
    <xf numFmtId="43" fontId="22" fillId="9" borderId="14" xfId="37" applyFont="1" applyFill="1" applyBorder="1" applyAlignment="1">
      <alignment vertical="top"/>
    </xf>
    <xf numFmtId="43" fontId="22" fillId="9" borderId="15" xfId="37" applyFont="1" applyFill="1" applyBorder="1" applyAlignment="1">
      <alignment vertical="top"/>
    </xf>
    <xf numFmtId="0" fontId="24" fillId="9" borderId="9" xfId="0" applyFont="1" applyFill="1" applyBorder="1" applyAlignment="1">
      <alignment horizontal="center" vertical="center" wrapText="1"/>
    </xf>
    <xf numFmtId="41" fontId="23" fillId="9" borderId="8" xfId="1" applyNumberFormat="1" applyFont="1" applyFill="1" applyBorder="1" applyAlignment="1">
      <alignment horizontal="center" vertical="top"/>
    </xf>
    <xf numFmtId="43" fontId="23" fillId="9" borderId="8" xfId="37" applyFont="1" applyFill="1" applyBorder="1" applyAlignment="1">
      <alignment horizontal="center" vertical="top"/>
    </xf>
    <xf numFmtId="0" fontId="23" fillId="9" borderId="8" xfId="1" applyFont="1" applyFill="1" applyBorder="1" applyAlignment="1">
      <alignment horizontal="left" vertical="top" wrapText="1"/>
    </xf>
    <xf numFmtId="0" fontId="22" fillId="9" borderId="8" xfId="1" applyFont="1" applyFill="1" applyBorder="1" applyAlignment="1">
      <alignment horizontal="left" vertical="top" wrapText="1"/>
    </xf>
    <xf numFmtId="41" fontId="22" fillId="9" borderId="11" xfId="1" applyNumberFormat="1" applyFont="1" applyFill="1" applyBorder="1" applyAlignment="1">
      <alignment horizontal="center" vertical="top"/>
    </xf>
    <xf numFmtId="41" fontId="22" fillId="9" borderId="8" xfId="1" applyNumberFormat="1" applyFont="1" applyFill="1" applyBorder="1" applyAlignment="1">
      <alignment horizontal="center" vertical="top"/>
    </xf>
    <xf numFmtId="43" fontId="22" fillId="9" borderId="8" xfId="37" applyFont="1" applyFill="1" applyBorder="1" applyAlignment="1">
      <alignment horizontal="center" vertical="top"/>
    </xf>
    <xf numFmtId="43" fontId="22" fillId="9" borderId="8" xfId="37" applyFont="1" applyFill="1" applyBorder="1" applyAlignment="1">
      <alignment horizontal="center" vertical="top" wrapText="1"/>
    </xf>
    <xf numFmtId="43" fontId="23" fillId="9" borderId="10" xfId="37" applyFont="1" applyFill="1" applyBorder="1" applyAlignment="1">
      <alignment horizontal="left" vertical="top"/>
    </xf>
    <xf numFmtId="41" fontId="27" fillId="9" borderId="1" xfId="1" applyNumberFormat="1" applyFont="1" applyFill="1" applyBorder="1" applyAlignment="1">
      <alignment vertical="top"/>
    </xf>
    <xf numFmtId="41" fontId="28" fillId="9" borderId="8" xfId="3" applyNumberFormat="1" applyFont="1" applyFill="1" applyBorder="1" applyAlignment="1">
      <alignment horizontal="center" vertical="top" wrapText="1"/>
    </xf>
    <xf numFmtId="41" fontId="28" fillId="9" borderId="12" xfId="0" applyNumberFormat="1" applyFont="1" applyFill="1" applyBorder="1" applyAlignment="1">
      <alignment horizontal="center" vertical="top" wrapText="1"/>
    </xf>
    <xf numFmtId="41" fontId="28" fillId="9" borderId="8" xfId="0" applyNumberFormat="1" applyFont="1" applyFill="1" applyBorder="1" applyAlignment="1">
      <alignment horizontal="center" vertical="top" wrapText="1"/>
    </xf>
    <xf numFmtId="41" fontId="17" fillId="9" borderId="8" xfId="1" applyNumberFormat="1" applyFont="1" applyFill="1" applyBorder="1" applyAlignment="1">
      <alignment horizontal="center" vertical="top"/>
    </xf>
    <xf numFmtId="0" fontId="30" fillId="9" borderId="10" xfId="0" applyFont="1" applyFill="1" applyBorder="1" applyAlignment="1">
      <alignment horizontal="center" vertical="top" wrapText="1"/>
    </xf>
    <xf numFmtId="41" fontId="28" fillId="9" borderId="8" xfId="1" applyNumberFormat="1" applyFont="1" applyFill="1" applyBorder="1" applyAlignment="1">
      <alignment horizontal="center" vertical="top" wrapText="1"/>
    </xf>
    <xf numFmtId="41" fontId="21" fillId="9" borderId="8" xfId="1" applyNumberFormat="1" applyFont="1" applyFill="1" applyBorder="1" applyAlignment="1">
      <alignment horizontal="center" vertical="top" wrapText="1"/>
    </xf>
    <xf numFmtId="41" fontId="32" fillId="9" borderId="1" xfId="1" applyNumberFormat="1" applyFont="1" applyFill="1" applyBorder="1" applyAlignment="1">
      <alignment vertical="top"/>
    </xf>
    <xf numFmtId="41" fontId="35" fillId="9" borderId="10" xfId="0" applyNumberFormat="1" applyFont="1" applyFill="1" applyBorder="1" applyAlignment="1">
      <alignment horizontal="center" vertical="top" wrapText="1"/>
    </xf>
    <xf numFmtId="41" fontId="33" fillId="9" borderId="8" xfId="1" applyNumberFormat="1" applyFont="1" applyFill="1" applyBorder="1" applyAlignment="1">
      <alignment horizontal="center" vertical="top"/>
    </xf>
    <xf numFmtId="41" fontId="39" fillId="0" borderId="0" xfId="0" applyNumberFormat="1" applyFont="1"/>
    <xf numFmtId="41" fontId="38" fillId="12" borderId="10" xfId="0" applyNumberFormat="1" applyFont="1" applyFill="1" applyBorder="1" applyAlignment="1">
      <alignment horizontal="center" vertical="center"/>
    </xf>
    <xf numFmtId="41" fontId="38" fillId="12" borderId="10" xfId="0" applyNumberFormat="1" applyFont="1" applyFill="1" applyBorder="1" applyAlignment="1">
      <alignment horizontal="center" vertical="center" wrapText="1"/>
    </xf>
    <xf numFmtId="41" fontId="38" fillId="0" borderId="10" xfId="0" applyNumberFormat="1" applyFont="1" applyBorder="1" applyAlignment="1">
      <alignment horizontal="left" vertical="top" wrapText="1"/>
    </xf>
    <xf numFmtId="41" fontId="38" fillId="0" borderId="10" xfId="37" applyNumberFormat="1" applyFont="1" applyBorder="1" applyAlignment="1">
      <alignment vertical="top"/>
    </xf>
    <xf numFmtId="41" fontId="38" fillId="0" borderId="10" xfId="0" applyNumberFormat="1" applyFont="1" applyBorder="1" applyAlignment="1">
      <alignment horizontal="right" vertical="top"/>
    </xf>
    <xf numFmtId="41" fontId="39" fillId="0" borderId="10" xfId="0" applyNumberFormat="1" applyFont="1" applyBorder="1" applyAlignment="1">
      <alignment horizontal="left" vertical="top" wrapText="1"/>
    </xf>
    <xf numFmtId="41" fontId="39" fillId="0" borderId="10" xfId="37" applyNumberFormat="1" applyFont="1" applyBorder="1" applyAlignment="1">
      <alignment vertical="top"/>
    </xf>
    <xf numFmtId="41" fontId="38" fillId="0" borderId="13" xfId="0" applyNumberFormat="1" applyFont="1" applyBorder="1" applyAlignment="1">
      <alignment horizontal="center" vertical="top"/>
    </xf>
    <xf numFmtId="41" fontId="39" fillId="0" borderId="10" xfId="0" applyNumberFormat="1" applyFont="1" applyFill="1" applyBorder="1" applyAlignment="1">
      <alignment horizontal="left" vertical="top" wrapText="1"/>
    </xf>
    <xf numFmtId="41" fontId="39" fillId="0" borderId="10" xfId="37" applyNumberFormat="1" applyFont="1" applyFill="1" applyBorder="1" applyAlignment="1">
      <alignment vertical="top"/>
    </xf>
    <xf numFmtId="41" fontId="38" fillId="9" borderId="13" xfId="0" applyNumberFormat="1" applyFont="1" applyFill="1" applyBorder="1" applyAlignment="1">
      <alignment horizontal="center" vertical="top"/>
    </xf>
    <xf numFmtId="41" fontId="39" fillId="9" borderId="10" xfId="0" applyNumberFormat="1" applyFont="1" applyFill="1" applyBorder="1" applyAlignment="1">
      <alignment horizontal="left" vertical="top" wrapText="1"/>
    </xf>
    <xf numFmtId="41" fontId="39" fillId="9" borderId="10" xfId="37" applyNumberFormat="1" applyFont="1" applyFill="1" applyBorder="1" applyAlignment="1">
      <alignment vertical="top"/>
    </xf>
    <xf numFmtId="41" fontId="39" fillId="9" borderId="0" xfId="0" applyNumberFormat="1" applyFont="1" applyFill="1"/>
    <xf numFmtId="41" fontId="39" fillId="0" borderId="10" xfId="0" applyNumberFormat="1" applyFont="1" applyBorder="1" applyAlignment="1">
      <alignment vertical="top" wrapText="1"/>
    </xf>
    <xf numFmtId="41" fontId="39" fillId="0" borderId="10" xfId="0" applyNumberFormat="1" applyFont="1" applyBorder="1" applyAlignment="1">
      <alignment vertical="top"/>
    </xf>
    <xf numFmtId="41" fontId="39" fillId="0" borderId="0" xfId="0" applyNumberFormat="1" applyFont="1" applyAlignment="1">
      <alignment vertical="top"/>
    </xf>
    <xf numFmtId="41" fontId="38" fillId="13" borderId="10" xfId="37" applyNumberFormat="1" applyFont="1" applyFill="1" applyBorder="1" applyAlignment="1">
      <alignment vertical="top"/>
    </xf>
    <xf numFmtId="41" fontId="39" fillId="13" borderId="10" xfId="0" applyNumberFormat="1" applyFont="1" applyFill="1" applyBorder="1" applyAlignment="1">
      <alignment vertical="top"/>
    </xf>
    <xf numFmtId="41" fontId="11" fillId="9" borderId="10" xfId="1" applyNumberFormat="1" applyFont="1" applyFill="1" applyBorder="1" applyAlignment="1">
      <alignment horizontal="left" vertical="top"/>
    </xf>
    <xf numFmtId="43" fontId="11" fillId="9" borderId="10" xfId="37" applyFont="1" applyFill="1" applyBorder="1" applyAlignment="1">
      <alignment horizontal="left" vertical="top"/>
    </xf>
    <xf numFmtId="41" fontId="40" fillId="9" borderId="8" xfId="3" applyNumberFormat="1" applyFont="1" applyFill="1" applyBorder="1" applyAlignment="1">
      <alignment horizontal="center" vertical="top" wrapText="1"/>
    </xf>
    <xf numFmtId="41" fontId="28" fillId="9" borderId="10" xfId="0" applyNumberFormat="1" applyFont="1" applyFill="1" applyBorder="1" applyAlignment="1">
      <alignment horizontal="center" vertical="top" wrapText="1"/>
    </xf>
    <xf numFmtId="41" fontId="42" fillId="0" borderId="10" xfId="37" applyNumberFormat="1" applyFont="1" applyBorder="1" applyAlignment="1">
      <alignment horizontal="center" vertical="top"/>
    </xf>
    <xf numFmtId="43" fontId="39" fillId="0" borderId="0" xfId="37" applyFont="1"/>
    <xf numFmtId="43" fontId="38" fillId="12" borderId="10" xfId="37" applyFont="1" applyFill="1" applyBorder="1" applyAlignment="1">
      <alignment horizontal="center" vertical="center" wrapText="1"/>
    </xf>
    <xf numFmtId="43" fontId="38" fillId="0" borderId="10" xfId="37" applyFont="1" applyBorder="1" applyAlignment="1">
      <alignment vertical="top"/>
    </xf>
    <xf numFmtId="43" fontId="39" fillId="0" borderId="10" xfId="37" applyFont="1" applyBorder="1" applyAlignment="1">
      <alignment vertical="top"/>
    </xf>
    <xf numFmtId="43" fontId="39" fillId="0" borderId="10" xfId="37" applyFont="1" applyFill="1" applyBorder="1" applyAlignment="1">
      <alignment vertical="top"/>
    </xf>
    <xf numFmtId="43" fontId="39" fillId="9" borderId="10" xfId="37" applyFont="1" applyFill="1" applyBorder="1" applyAlignment="1">
      <alignment vertical="top"/>
    </xf>
    <xf numFmtId="43" fontId="38" fillId="13" borderId="10" xfId="37" applyFont="1" applyFill="1" applyBorder="1" applyAlignment="1">
      <alignment vertical="top"/>
    </xf>
    <xf numFmtId="41" fontId="39" fillId="0" borderId="10" xfId="0" applyNumberFormat="1" applyFont="1" applyBorder="1" applyAlignment="1">
      <alignment horizontal="center" vertical="top" wrapText="1"/>
    </xf>
    <xf numFmtId="41" fontId="39" fillId="0" borderId="10" xfId="0" applyNumberFormat="1" applyFont="1" applyFill="1" applyBorder="1" applyAlignment="1">
      <alignment horizontal="center" vertical="top" wrapText="1"/>
    </xf>
    <xf numFmtId="41" fontId="42" fillId="0" borderId="10" xfId="0" applyNumberFormat="1" applyFont="1" applyBorder="1" applyAlignment="1">
      <alignment horizontal="center" vertical="top" wrapText="1"/>
    </xf>
    <xf numFmtId="41" fontId="42" fillId="0" borderId="10" xfId="0" applyNumberFormat="1" applyFont="1" applyFill="1" applyBorder="1" applyAlignment="1">
      <alignment horizontal="center" vertical="top" wrapText="1"/>
    </xf>
    <xf numFmtId="41" fontId="41" fillId="0" borderId="10" xfId="0" applyNumberFormat="1" applyFont="1" applyBorder="1" applyAlignment="1">
      <alignment horizontal="center" vertical="top" wrapText="1"/>
    </xf>
    <xf numFmtId="41" fontId="42" fillId="0" borderId="10" xfId="37" applyNumberFormat="1" applyFont="1" applyBorder="1" applyAlignment="1">
      <alignment horizontal="center" vertical="top" wrapText="1"/>
    </xf>
    <xf numFmtId="43" fontId="10" fillId="4" borderId="10" xfId="37" applyFont="1" applyFill="1" applyBorder="1" applyAlignment="1">
      <alignment vertical="top" wrapText="1"/>
    </xf>
    <xf numFmtId="43" fontId="10" fillId="5" borderId="10" xfId="37" applyFont="1" applyFill="1" applyBorder="1" applyAlignment="1">
      <alignment vertical="top" wrapText="1"/>
    </xf>
    <xf numFmtId="43" fontId="10" fillId="6" borderId="10" xfId="37" applyFont="1" applyFill="1" applyBorder="1" applyAlignment="1">
      <alignment vertical="top" wrapText="1"/>
    </xf>
    <xf numFmtId="43" fontId="10" fillId="0" borderId="10" xfId="37" applyFont="1" applyFill="1" applyBorder="1" applyAlignment="1">
      <alignment vertical="top" wrapText="1"/>
    </xf>
    <xf numFmtId="43" fontId="11" fillId="7" borderId="10" xfId="37" applyFont="1" applyFill="1" applyBorder="1" applyAlignment="1">
      <alignment vertical="top" wrapText="1"/>
    </xf>
    <xf numFmtId="43" fontId="10" fillId="8" borderId="10" xfId="37" applyFont="1" applyFill="1" applyBorder="1" applyAlignment="1">
      <alignment vertical="top" wrapText="1"/>
    </xf>
    <xf numFmtId="41" fontId="11" fillId="9" borderId="10" xfId="0" applyNumberFormat="1" applyFont="1" applyFill="1" applyBorder="1" applyAlignment="1">
      <alignment vertical="top" wrapText="1"/>
    </xf>
    <xf numFmtId="0" fontId="11" fillId="0" borderId="10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vertical="top" wrapText="1"/>
    </xf>
    <xf numFmtId="43" fontId="11" fillId="0" borderId="10" xfId="37" applyFont="1" applyFill="1" applyBorder="1" applyAlignment="1">
      <alignment vertical="top" wrapText="1"/>
    </xf>
    <xf numFmtId="0" fontId="43" fillId="9" borderId="10" xfId="0" applyFont="1" applyFill="1" applyBorder="1" applyAlignment="1">
      <alignment horizontal="center" vertical="top" wrapText="1"/>
    </xf>
    <xf numFmtId="0" fontId="10" fillId="9" borderId="5" xfId="1" applyFont="1" applyFill="1" applyBorder="1" applyAlignment="1">
      <alignment horizontal="left" vertical="top" wrapText="1"/>
    </xf>
    <xf numFmtId="0" fontId="11" fillId="9" borderId="6" xfId="1" applyFont="1" applyFill="1" applyBorder="1" applyAlignment="1">
      <alignment horizontal="left" vertical="top" wrapText="1"/>
    </xf>
    <xf numFmtId="0" fontId="10" fillId="9" borderId="5" xfId="1" applyFont="1" applyFill="1" applyBorder="1" applyAlignment="1">
      <alignment horizontal="left" vertical="top"/>
    </xf>
    <xf numFmtId="0" fontId="10" fillId="9" borderId="0" xfId="1" applyFont="1" applyFill="1" applyAlignment="1">
      <alignment horizontal="center" vertical="top"/>
    </xf>
    <xf numFmtId="0" fontId="44" fillId="0" borderId="6" xfId="0" applyFont="1" applyBorder="1"/>
    <xf numFmtId="0" fontId="44" fillId="0" borderId="6" xfId="0" applyFont="1" applyBorder="1" applyAlignment="1">
      <alignment wrapText="1"/>
    </xf>
    <xf numFmtId="0" fontId="44" fillId="0" borderId="0" xfId="0" applyFont="1"/>
    <xf numFmtId="0" fontId="44" fillId="0" borderId="9" xfId="0" applyFont="1" applyBorder="1"/>
    <xf numFmtId="0" fontId="44" fillId="0" borderId="6" xfId="0" applyFont="1" applyBorder="1" applyAlignment="1">
      <alignment vertical="center" wrapText="1"/>
    </xf>
    <xf numFmtId="0" fontId="44" fillId="0" borderId="0" xfId="0" applyFont="1" applyAlignment="1">
      <alignment wrapText="1"/>
    </xf>
    <xf numFmtId="0" fontId="39" fillId="0" borderId="6" xfId="0" applyFont="1" applyBorder="1"/>
    <xf numFmtId="0" fontId="44" fillId="0" borderId="5" xfId="0" applyFont="1" applyBorder="1"/>
    <xf numFmtId="43" fontId="16" fillId="9" borderId="11" xfId="37" applyFont="1" applyFill="1" applyBorder="1" applyAlignment="1">
      <alignment horizontal="left" vertical="top"/>
    </xf>
    <xf numFmtId="43" fontId="16" fillId="9" borderId="10" xfId="37" applyFont="1" applyFill="1" applyBorder="1" applyAlignment="1">
      <alignment horizontal="center" vertical="top"/>
    </xf>
    <xf numFmtId="0" fontId="11" fillId="0" borderId="10" xfId="0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center" vertical="top" wrapText="1"/>
    </xf>
    <xf numFmtId="43" fontId="11" fillId="0" borderId="10" xfId="37" applyFont="1" applyFill="1" applyBorder="1" applyAlignment="1">
      <alignment horizontal="left" vertical="top" wrapText="1"/>
    </xf>
    <xf numFmtId="43" fontId="11" fillId="0" borderId="10" xfId="0" applyNumberFormat="1" applyFont="1" applyFill="1" applyBorder="1" applyAlignment="1">
      <alignment horizontal="left" vertical="top" wrapText="1"/>
    </xf>
    <xf numFmtId="0" fontId="11" fillId="9" borderId="6" xfId="1" applyFont="1" applyFill="1" applyBorder="1" applyAlignment="1">
      <alignment horizontal="left" vertical="top" wrapText="1"/>
    </xf>
    <xf numFmtId="0" fontId="10" fillId="9" borderId="5" xfId="1" applyFont="1" applyFill="1" applyBorder="1" applyAlignment="1">
      <alignment horizontal="left" vertical="top"/>
    </xf>
    <xf numFmtId="0" fontId="10" fillId="9" borderId="5" xfId="1" applyFont="1" applyFill="1" applyBorder="1" applyAlignment="1">
      <alignment horizontal="left" vertical="top" wrapText="1"/>
    </xf>
    <xf numFmtId="0" fontId="11" fillId="9" borderId="6" xfId="1" applyFont="1" applyFill="1" applyBorder="1" applyAlignment="1">
      <alignment horizontal="left" vertical="top" wrapText="1"/>
    </xf>
    <xf numFmtId="41" fontId="21" fillId="9" borderId="10" xfId="0" applyNumberFormat="1" applyFont="1" applyFill="1" applyBorder="1" applyAlignment="1">
      <alignment horizontal="center" vertical="top" wrapText="1"/>
    </xf>
    <xf numFmtId="0" fontId="10" fillId="9" borderId="5" xfId="1" applyFont="1" applyFill="1" applyBorder="1" applyAlignment="1">
      <alignment horizontal="left" vertical="top" wrapText="1"/>
    </xf>
    <xf numFmtId="0" fontId="11" fillId="9" borderId="6" xfId="1" applyFont="1" applyFill="1" applyBorder="1" applyAlignment="1">
      <alignment horizontal="left" vertical="top" wrapText="1"/>
    </xf>
    <xf numFmtId="41" fontId="11" fillId="9" borderId="10" xfId="0" applyNumberFormat="1" applyFont="1" applyFill="1" applyBorder="1" applyAlignment="1">
      <alignment horizontal="center" vertical="top" wrapText="1"/>
    </xf>
    <xf numFmtId="0" fontId="11" fillId="9" borderId="6" xfId="1" applyFont="1" applyFill="1" applyBorder="1" applyAlignment="1">
      <alignment horizontal="left" vertical="top" wrapText="1"/>
    </xf>
    <xf numFmtId="41" fontId="28" fillId="9" borderId="10" xfId="3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9" fillId="0" borderId="10" xfId="0" applyFont="1" applyBorder="1" applyAlignment="1">
      <alignment wrapText="1"/>
    </xf>
    <xf numFmtId="0" fontId="38" fillId="0" borderId="10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 wrapText="1"/>
    </xf>
    <xf numFmtId="0" fontId="38" fillId="0" borderId="10" xfId="0" applyFont="1" applyBorder="1"/>
    <xf numFmtId="0" fontId="38" fillId="0" borderId="10" xfId="0" applyFont="1" applyBorder="1" applyAlignment="1">
      <alignment wrapText="1"/>
    </xf>
    <xf numFmtId="43" fontId="39" fillId="0" borderId="10" xfId="37" applyFont="1" applyBorder="1"/>
    <xf numFmtId="43" fontId="39" fillId="0" borderId="10" xfId="0" applyNumberFormat="1" applyFont="1" applyBorder="1"/>
    <xf numFmtId="0" fontId="45" fillId="0" borderId="10" xfId="0" applyFont="1" applyBorder="1"/>
    <xf numFmtId="43" fontId="38" fillId="0" borderId="10" xfId="0" applyNumberFormat="1" applyFont="1" applyBorder="1"/>
    <xf numFmtId="0" fontId="45" fillId="0" borderId="0" xfId="0" applyFont="1"/>
    <xf numFmtId="41" fontId="10" fillId="0" borderId="10" xfId="0" applyNumberFormat="1" applyFont="1" applyBorder="1" applyAlignment="1">
      <alignment horizontal="center" vertical="center" wrapText="1"/>
    </xf>
    <xf numFmtId="41" fontId="17" fillId="9" borderId="10" xfId="37" applyNumberFormat="1" applyFont="1" applyFill="1" applyBorder="1" applyAlignment="1">
      <alignment horizontal="center" vertical="top" wrapText="1"/>
    </xf>
    <xf numFmtId="43" fontId="10" fillId="4" borderId="6" xfId="37" applyFont="1" applyFill="1" applyBorder="1" applyAlignment="1">
      <alignment horizontal="right" vertical="top" wrapText="1"/>
    </xf>
    <xf numFmtId="41" fontId="17" fillId="9" borderId="10" xfId="0" applyNumberFormat="1" applyFont="1" applyFill="1" applyBorder="1" applyAlignment="1">
      <alignment horizontal="center" vertical="top" wrapText="1"/>
    </xf>
    <xf numFmtId="41" fontId="17" fillId="0" borderId="10" xfId="37" applyNumberFormat="1" applyFont="1" applyFill="1" applyBorder="1" applyAlignment="1">
      <alignment horizontal="center" vertical="top" wrapText="1"/>
    </xf>
    <xf numFmtId="43" fontId="11" fillId="9" borderId="20" xfId="37" applyFont="1" applyFill="1" applyBorder="1" applyAlignment="1">
      <alignment vertical="top"/>
    </xf>
    <xf numFmtId="0" fontId="11" fillId="0" borderId="11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left" vertical="top" wrapText="1"/>
    </xf>
    <xf numFmtId="43" fontId="10" fillId="0" borderId="10" xfId="0" applyNumberFormat="1" applyFont="1" applyFill="1" applyBorder="1" applyAlignment="1">
      <alignment vertical="top" wrapText="1"/>
    </xf>
    <xf numFmtId="0" fontId="46" fillId="0" borderId="10" xfId="0" applyFont="1" applyBorder="1" applyAlignment="1">
      <alignment vertical="top"/>
    </xf>
    <xf numFmtId="0" fontId="11" fillId="0" borderId="10" xfId="0" applyFont="1" applyFill="1" applyBorder="1" applyAlignment="1">
      <alignment horizontal="center" vertical="center" wrapText="1"/>
    </xf>
    <xf numFmtId="43" fontId="11" fillId="0" borderId="10" xfId="37" applyFont="1" applyFill="1" applyBorder="1" applyAlignment="1">
      <alignment horizontal="right" vertical="top" wrapText="1"/>
    </xf>
    <xf numFmtId="43" fontId="11" fillId="0" borderId="6" xfId="37" applyFont="1" applyFill="1" applyBorder="1" applyAlignment="1">
      <alignment horizontal="right" vertical="top" wrapText="1"/>
    </xf>
    <xf numFmtId="0" fontId="46" fillId="0" borderId="0" xfId="0" applyFont="1" applyAlignment="1">
      <alignment horizontal="justify" vertical="top"/>
    </xf>
    <xf numFmtId="41" fontId="11" fillId="0" borderId="10" xfId="0" applyNumberFormat="1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43" fontId="11" fillId="0" borderId="0" xfId="37" applyFont="1" applyFill="1" applyAlignment="1">
      <alignment vertical="top" wrapText="1"/>
    </xf>
    <xf numFmtId="43" fontId="11" fillId="0" borderId="0" xfId="0" applyNumberFormat="1" applyFont="1" applyFill="1" applyAlignment="1">
      <alignment vertical="top" wrapText="1"/>
    </xf>
    <xf numFmtId="0" fontId="9" fillId="0" borderId="1" xfId="1" applyFont="1" applyBorder="1" applyAlignment="1">
      <alignment vertical="top"/>
    </xf>
    <xf numFmtId="0" fontId="10" fillId="9" borderId="5" xfId="1" applyFont="1" applyFill="1" applyBorder="1" applyAlignment="1">
      <alignment horizontal="left" vertical="top"/>
    </xf>
    <xf numFmtId="43" fontId="10" fillId="9" borderId="11" xfId="37" applyFont="1" applyFill="1" applyBorder="1" applyAlignment="1">
      <alignment horizontal="center" vertical="top" wrapText="1"/>
    </xf>
    <xf numFmtId="0" fontId="39" fillId="0" borderId="11" xfId="0" applyFont="1" applyBorder="1" applyAlignment="1">
      <alignment horizontal="center" vertical="top"/>
    </xf>
    <xf numFmtId="43" fontId="39" fillId="2" borderId="10" xfId="0" applyNumberFormat="1" applyFont="1" applyFill="1" applyBorder="1"/>
    <xf numFmtId="43" fontId="39" fillId="0" borderId="7" xfId="37" applyFont="1" applyFill="1" applyBorder="1" applyAlignment="1">
      <alignment vertical="center"/>
    </xf>
    <xf numFmtId="43" fontId="39" fillId="0" borderId="7" xfId="37" applyFont="1" applyBorder="1" applyAlignment="1">
      <alignment vertical="center"/>
    </xf>
    <xf numFmtId="15" fontId="0" fillId="0" borderId="0" xfId="0" applyNumberFormat="1"/>
    <xf numFmtId="0" fontId="11" fillId="0" borderId="10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top" wrapText="1"/>
    </xf>
    <xf numFmtId="43" fontId="13" fillId="0" borderId="10" xfId="0" applyNumberFormat="1" applyFont="1" applyFill="1" applyBorder="1" applyAlignment="1">
      <alignment vertical="top" wrapText="1"/>
    </xf>
    <xf numFmtId="0" fontId="11" fillId="0" borderId="10" xfId="0" applyFont="1" applyFill="1" applyBorder="1" applyAlignment="1">
      <alignment horizontal="center" vertical="top" wrapText="1"/>
    </xf>
    <xf numFmtId="0" fontId="10" fillId="9" borderId="5" xfId="1" applyFont="1" applyFill="1" applyBorder="1" applyAlignment="1">
      <alignment horizontal="left" vertical="top" wrapText="1"/>
    </xf>
    <xf numFmtId="0" fontId="10" fillId="9" borderId="12" xfId="1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10" fillId="9" borderId="0" xfId="1" applyFont="1" applyFill="1" applyAlignment="1">
      <alignment horizontal="center" vertical="top"/>
    </xf>
    <xf numFmtId="41" fontId="10" fillId="9" borderId="10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top" wrapText="1"/>
    </xf>
    <xf numFmtId="41" fontId="11" fillId="9" borderId="1" xfId="1" applyNumberFormat="1" applyFont="1" applyFill="1" applyBorder="1" applyAlignment="1">
      <alignment horizontal="center" vertical="top"/>
    </xf>
    <xf numFmtId="41" fontId="33" fillId="9" borderId="11" xfId="0" applyNumberFormat="1" applyFont="1" applyFill="1" applyBorder="1" applyAlignment="1">
      <alignment horizontal="center" vertical="center" wrapText="1"/>
    </xf>
    <xf numFmtId="188" fontId="10" fillId="9" borderId="10" xfId="37" applyNumberFormat="1" applyFont="1" applyFill="1" applyBorder="1" applyAlignment="1">
      <alignment horizontal="left" vertical="top"/>
    </xf>
    <xf numFmtId="43" fontId="10" fillId="9" borderId="0" xfId="1" applyNumberFormat="1" applyFont="1" applyFill="1" applyAlignment="1">
      <alignment horizontal="center" vertical="top"/>
    </xf>
    <xf numFmtId="2" fontId="10" fillId="9" borderId="0" xfId="1" applyNumberFormat="1" applyFont="1" applyFill="1" applyAlignment="1">
      <alignment horizontal="center" vertical="top"/>
    </xf>
    <xf numFmtId="41" fontId="17" fillId="9" borderId="10" xfId="1" applyNumberFormat="1" applyFont="1" applyFill="1" applyBorder="1" applyAlignment="1">
      <alignment horizontal="left" vertical="top" wrapText="1"/>
    </xf>
    <xf numFmtId="41" fontId="33" fillId="9" borderId="10" xfId="1" applyNumberFormat="1" applyFont="1" applyFill="1" applyBorder="1" applyAlignment="1">
      <alignment horizontal="left" vertical="top" wrapText="1"/>
    </xf>
    <xf numFmtId="43" fontId="10" fillId="9" borderId="12" xfId="37" applyFont="1" applyFill="1" applyBorder="1" applyAlignment="1">
      <alignment horizontal="left" vertical="top" wrapText="1"/>
    </xf>
    <xf numFmtId="0" fontId="11" fillId="9" borderId="0" xfId="1" applyFont="1" applyFill="1" applyAlignment="1">
      <alignment horizontal="center"/>
    </xf>
    <xf numFmtId="41" fontId="10" fillId="9" borderId="11" xfId="1" applyNumberFormat="1" applyFont="1" applyFill="1" applyBorder="1" applyAlignment="1">
      <alignment horizontal="left" vertical="top"/>
    </xf>
    <xf numFmtId="41" fontId="17" fillId="9" borderId="11" xfId="1" applyNumberFormat="1" applyFont="1" applyFill="1" applyBorder="1" applyAlignment="1">
      <alignment horizontal="left" vertical="top"/>
    </xf>
    <xf numFmtId="41" fontId="33" fillId="9" borderId="11" xfId="1" applyNumberFormat="1" applyFont="1" applyFill="1" applyBorder="1" applyAlignment="1">
      <alignment horizontal="left" vertical="top"/>
    </xf>
    <xf numFmtId="43" fontId="10" fillId="9" borderId="11" xfId="37" applyFont="1" applyFill="1" applyBorder="1" applyAlignment="1">
      <alignment horizontal="left" vertical="top"/>
    </xf>
    <xf numFmtId="41" fontId="17" fillId="9" borderId="10" xfId="1" applyNumberFormat="1" applyFont="1" applyFill="1" applyBorder="1" applyAlignment="1">
      <alignment horizontal="center" vertical="top"/>
    </xf>
    <xf numFmtId="41" fontId="33" fillId="9" borderId="10" xfId="1" applyNumberFormat="1" applyFont="1" applyFill="1" applyBorder="1" applyAlignment="1">
      <alignment horizontal="center" vertical="top"/>
    </xf>
    <xf numFmtId="41" fontId="21" fillId="9" borderId="8" xfId="0" applyNumberFormat="1" applyFont="1" applyFill="1" applyBorder="1" applyAlignment="1">
      <alignment horizontal="center" vertical="center" wrapText="1"/>
    </xf>
    <xf numFmtId="41" fontId="34" fillId="9" borderId="8" xfId="0" applyNumberFormat="1" applyFont="1" applyFill="1" applyBorder="1" applyAlignment="1">
      <alignment vertical="top"/>
    </xf>
    <xf numFmtId="41" fontId="21" fillId="9" borderId="8" xfId="0" applyNumberFormat="1" applyFont="1" applyFill="1" applyBorder="1" applyAlignment="1">
      <alignment vertical="top"/>
    </xf>
    <xf numFmtId="41" fontId="34" fillId="9" borderId="12" xfId="0" applyNumberFormat="1" applyFont="1" applyFill="1" applyBorder="1" applyAlignment="1">
      <alignment vertical="top"/>
    </xf>
    <xf numFmtId="41" fontId="21" fillId="9" borderId="12" xfId="0" applyNumberFormat="1" applyFont="1" applyFill="1" applyBorder="1" applyAlignment="1">
      <alignment vertical="top"/>
    </xf>
    <xf numFmtId="0" fontId="11" fillId="9" borderId="14" xfId="1" applyFont="1" applyFill="1" applyBorder="1" applyAlignment="1">
      <alignment horizontal="left" vertical="top" wrapText="1"/>
    </xf>
    <xf numFmtId="41" fontId="21" fillId="9" borderId="8" xfId="0" applyNumberFormat="1" applyFont="1" applyFill="1" applyBorder="1" applyAlignment="1">
      <alignment horizontal="center" vertical="top" wrapText="1"/>
    </xf>
    <xf numFmtId="41" fontId="11" fillId="9" borderId="15" xfId="0" applyNumberFormat="1" applyFont="1" applyFill="1" applyBorder="1" applyAlignment="1">
      <alignment vertical="top"/>
    </xf>
    <xf numFmtId="41" fontId="11" fillId="9" borderId="13" xfId="0" applyNumberFormat="1" applyFont="1" applyFill="1" applyBorder="1" applyAlignment="1">
      <alignment vertical="top"/>
    </xf>
    <xf numFmtId="41" fontId="34" fillId="9" borderId="13" xfId="0" applyNumberFormat="1" applyFont="1" applyFill="1" applyBorder="1" applyAlignment="1">
      <alignment vertical="top"/>
    </xf>
    <xf numFmtId="41" fontId="21" fillId="9" borderId="13" xfId="0" applyNumberFormat="1" applyFont="1" applyFill="1" applyBorder="1" applyAlignment="1">
      <alignment vertical="top"/>
    </xf>
    <xf numFmtId="41" fontId="34" fillId="9" borderId="10" xfId="0" applyNumberFormat="1" applyFont="1" applyFill="1" applyBorder="1" applyAlignment="1">
      <alignment vertical="top"/>
    </xf>
    <xf numFmtId="41" fontId="21" fillId="9" borderId="10" xfId="0" applyNumberFormat="1" applyFont="1" applyFill="1" applyBorder="1" applyAlignment="1">
      <alignment vertical="top"/>
    </xf>
    <xf numFmtId="0" fontId="11" fillId="9" borderId="1" xfId="1" applyFont="1" applyFill="1" applyBorder="1" applyAlignment="1">
      <alignment horizontal="left" vertical="top" wrapText="1"/>
    </xf>
    <xf numFmtId="41" fontId="21" fillId="9" borderId="12" xfId="0" applyNumberFormat="1" applyFont="1" applyFill="1" applyBorder="1" applyAlignment="1">
      <alignment horizontal="center" vertical="center" wrapText="1"/>
    </xf>
    <xf numFmtId="41" fontId="10" fillId="9" borderId="7" xfId="1" applyNumberFormat="1" applyFont="1" applyFill="1" applyBorder="1" applyAlignment="1">
      <alignment vertical="top" wrapText="1"/>
    </xf>
    <xf numFmtId="41" fontId="10" fillId="9" borderId="10" xfId="1" applyNumberFormat="1" applyFont="1" applyFill="1" applyBorder="1" applyAlignment="1">
      <alignment vertical="top" wrapText="1"/>
    </xf>
    <xf numFmtId="41" fontId="17" fillId="9" borderId="10" xfId="1" applyNumberFormat="1" applyFont="1" applyFill="1" applyBorder="1" applyAlignment="1">
      <alignment vertical="top" wrapText="1"/>
    </xf>
    <xf numFmtId="41" fontId="33" fillId="9" borderId="10" xfId="1" applyNumberFormat="1" applyFont="1" applyFill="1" applyBorder="1" applyAlignment="1">
      <alignment vertical="top" wrapText="1"/>
    </xf>
    <xf numFmtId="43" fontId="10" fillId="9" borderId="10" xfId="37" applyFont="1" applyFill="1" applyBorder="1" applyAlignment="1">
      <alignment vertical="top" wrapText="1"/>
    </xf>
    <xf numFmtId="41" fontId="11" fillId="9" borderId="6" xfId="0" applyNumberFormat="1" applyFont="1" applyFill="1" applyBorder="1" applyAlignment="1">
      <alignment vertical="top"/>
    </xf>
    <xf numFmtId="41" fontId="17" fillId="9" borderId="11" xfId="1" applyNumberFormat="1" applyFont="1" applyFill="1" applyBorder="1" applyAlignment="1">
      <alignment horizontal="center" vertical="top"/>
    </xf>
    <xf numFmtId="41" fontId="33" fillId="9" borderId="11" xfId="1" applyNumberFormat="1" applyFont="1" applyFill="1" applyBorder="1" applyAlignment="1">
      <alignment horizontal="center" vertical="top"/>
    </xf>
    <xf numFmtId="43" fontId="10" fillId="9" borderId="11" xfId="37" applyFont="1" applyFill="1" applyBorder="1" applyAlignment="1">
      <alignment horizontal="center" vertical="top"/>
    </xf>
    <xf numFmtId="41" fontId="11" fillId="9" borderId="5" xfId="0" applyNumberFormat="1" applyFont="1" applyFill="1" applyBorder="1" applyAlignment="1">
      <alignment vertical="top"/>
    </xf>
    <xf numFmtId="41" fontId="34" fillId="9" borderId="12" xfId="0" applyNumberFormat="1" applyFont="1" applyFill="1" applyBorder="1" applyAlignment="1">
      <alignment horizontal="center" vertical="top" wrapText="1"/>
    </xf>
    <xf numFmtId="0" fontId="16" fillId="9" borderId="14" xfId="1" applyFont="1" applyFill="1" applyBorder="1" applyAlignment="1">
      <alignment horizontal="left" vertical="top" wrapText="1"/>
    </xf>
    <xf numFmtId="41" fontId="16" fillId="9" borderId="15" xfId="0" applyNumberFormat="1" applyFont="1" applyFill="1" applyBorder="1" applyAlignment="1">
      <alignment vertical="top"/>
    </xf>
    <xf numFmtId="41" fontId="16" fillId="9" borderId="13" xfId="0" applyNumberFormat="1" applyFont="1" applyFill="1" applyBorder="1" applyAlignment="1">
      <alignment vertical="top"/>
    </xf>
    <xf numFmtId="41" fontId="29" fillId="9" borderId="13" xfId="0" applyNumberFormat="1" applyFont="1" applyFill="1" applyBorder="1" applyAlignment="1">
      <alignment horizontal="center" vertical="center" wrapText="1"/>
    </xf>
    <xf numFmtId="41" fontId="36" fillId="9" borderId="13" xfId="0" applyNumberFormat="1" applyFont="1" applyFill="1" applyBorder="1" applyAlignment="1">
      <alignment vertical="top"/>
    </xf>
    <xf numFmtId="41" fontId="29" fillId="9" borderId="13" xfId="0" applyNumberFormat="1" applyFont="1" applyFill="1" applyBorder="1" applyAlignment="1">
      <alignment vertical="top"/>
    </xf>
    <xf numFmtId="43" fontId="16" fillId="9" borderId="13" xfId="37" applyFont="1" applyFill="1" applyBorder="1" applyAlignment="1">
      <alignment vertical="top"/>
    </xf>
    <xf numFmtId="0" fontId="15" fillId="9" borderId="15" xfId="0" applyFont="1" applyFill="1" applyBorder="1" applyAlignment="1">
      <alignment horizontal="center" vertical="center" wrapText="1"/>
    </xf>
    <xf numFmtId="41" fontId="21" fillId="9" borderId="11" xfId="0" applyNumberFormat="1" applyFont="1" applyFill="1" applyBorder="1" applyAlignment="1">
      <alignment vertical="top"/>
    </xf>
    <xf numFmtId="41" fontId="34" fillId="9" borderId="11" xfId="0" applyNumberFormat="1" applyFont="1" applyFill="1" applyBorder="1" applyAlignment="1">
      <alignment vertical="top"/>
    </xf>
    <xf numFmtId="43" fontId="11" fillId="9" borderId="11" xfId="37" applyFont="1" applyFill="1" applyBorder="1" applyAlignment="1">
      <alignment vertical="top"/>
    </xf>
    <xf numFmtId="41" fontId="11" fillId="9" borderId="10" xfId="3" applyNumberFormat="1" applyFont="1" applyFill="1" applyBorder="1" applyAlignment="1">
      <alignment vertical="top"/>
    </xf>
    <xf numFmtId="41" fontId="34" fillId="9" borderId="10" xfId="0" applyNumberFormat="1" applyFont="1" applyFill="1" applyBorder="1" applyAlignment="1">
      <alignment horizontal="center" vertical="center" wrapText="1"/>
    </xf>
    <xf numFmtId="41" fontId="21" fillId="9" borderId="10" xfId="3" applyNumberFormat="1" applyFont="1" applyFill="1" applyBorder="1" applyAlignment="1">
      <alignment horizontal="center" vertical="top" wrapText="1"/>
    </xf>
    <xf numFmtId="41" fontId="11" fillId="9" borderId="10" xfId="3" applyNumberFormat="1" applyFont="1" applyFill="1" applyBorder="1" applyAlignment="1">
      <alignment vertical="center"/>
    </xf>
    <xf numFmtId="43" fontId="11" fillId="9" borderId="10" xfId="37" applyFont="1" applyFill="1" applyBorder="1" applyAlignment="1">
      <alignment vertical="center"/>
    </xf>
    <xf numFmtId="41" fontId="11" fillId="9" borderId="12" xfId="3" applyNumberFormat="1" applyFont="1" applyFill="1" applyBorder="1" applyAlignment="1">
      <alignment vertical="top"/>
    </xf>
    <xf numFmtId="41" fontId="21" fillId="9" borderId="12" xfId="3" applyNumberFormat="1" applyFont="1" applyFill="1" applyBorder="1" applyAlignment="1">
      <alignment horizontal="center" vertical="top" wrapText="1"/>
    </xf>
    <xf numFmtId="0" fontId="15" fillId="9" borderId="10" xfId="0" applyFont="1" applyFill="1" applyBorder="1" applyAlignment="1">
      <alignment horizontal="center" vertical="center" wrapText="1"/>
    </xf>
    <xf numFmtId="41" fontId="11" fillId="9" borderId="11" xfId="2" applyNumberFormat="1" applyFont="1" applyFill="1" applyBorder="1" applyAlignment="1">
      <alignment vertical="top"/>
    </xf>
    <xf numFmtId="41" fontId="11" fillId="9" borderId="11" xfId="3" applyNumberFormat="1" applyFont="1" applyFill="1" applyBorder="1" applyAlignment="1">
      <alignment vertical="top"/>
    </xf>
    <xf numFmtId="41" fontId="11" fillId="9" borderId="8" xfId="3" applyNumberFormat="1" applyFont="1" applyFill="1" applyBorder="1" applyAlignment="1">
      <alignment vertical="top"/>
    </xf>
    <xf numFmtId="41" fontId="21" fillId="9" borderId="12" xfId="3" applyNumberFormat="1" applyFont="1" applyFill="1" applyBorder="1" applyAlignment="1">
      <alignment vertical="top"/>
    </xf>
    <xf numFmtId="0" fontId="15" fillId="9" borderId="11" xfId="0" applyFont="1" applyFill="1" applyBorder="1" applyAlignment="1">
      <alignment horizontal="center" vertical="center" wrapText="1"/>
    </xf>
    <xf numFmtId="41" fontId="2" fillId="9" borderId="12" xfId="0" applyNumberFormat="1" applyFont="1" applyFill="1" applyBorder="1" applyAlignment="1">
      <alignment horizontal="center" vertical="top" wrapText="1"/>
    </xf>
    <xf numFmtId="41" fontId="21" fillId="9" borderId="8" xfId="3" applyNumberFormat="1" applyFont="1" applyFill="1" applyBorder="1" applyAlignment="1">
      <alignment horizontal="center" vertical="center" wrapText="1"/>
    </xf>
    <xf numFmtId="41" fontId="34" fillId="9" borderId="11" xfId="0" applyNumberFormat="1" applyFont="1" applyFill="1" applyBorder="1" applyAlignment="1">
      <alignment vertical="center" wrapText="1"/>
    </xf>
    <xf numFmtId="41" fontId="11" fillId="9" borderId="10" xfId="0" applyNumberFormat="1" applyFont="1" applyFill="1" applyBorder="1" applyAlignment="1">
      <alignment horizontal="center" vertical="top"/>
    </xf>
    <xf numFmtId="41" fontId="11" fillId="9" borderId="12" xfId="0" applyNumberFormat="1" applyFont="1" applyFill="1" applyBorder="1" applyAlignment="1">
      <alignment horizontal="center" vertical="top"/>
    </xf>
    <xf numFmtId="3" fontId="30" fillId="9" borderId="10" xfId="0" applyNumberFormat="1" applyFont="1" applyFill="1" applyBorder="1" applyAlignment="1">
      <alignment horizontal="center" vertical="center" wrapText="1"/>
    </xf>
    <xf numFmtId="41" fontId="34" fillId="9" borderId="12" xfId="0" applyNumberFormat="1" applyFont="1" applyFill="1" applyBorder="1" applyAlignment="1">
      <alignment horizontal="center" vertical="top"/>
    </xf>
    <xf numFmtId="41" fontId="21" fillId="9" borderId="12" xfId="0" applyNumberFormat="1" applyFont="1" applyFill="1" applyBorder="1" applyAlignment="1">
      <alignment horizontal="center" vertical="top"/>
    </xf>
    <xf numFmtId="43" fontId="11" fillId="9" borderId="12" xfId="37" applyFont="1" applyFill="1" applyBorder="1" applyAlignment="1">
      <alignment horizontal="center" vertical="top"/>
    </xf>
    <xf numFmtId="41" fontId="10" fillId="9" borderId="7" xfId="1" applyNumberFormat="1" applyFont="1" applyFill="1" applyBorder="1" applyAlignment="1">
      <alignment horizontal="center" vertical="top"/>
    </xf>
    <xf numFmtId="41" fontId="33" fillId="9" borderId="7" xfId="1" applyNumberFormat="1" applyFont="1" applyFill="1" applyBorder="1" applyAlignment="1">
      <alignment horizontal="center" vertical="top"/>
    </xf>
    <xf numFmtId="41" fontId="17" fillId="9" borderId="7" xfId="1" applyNumberFormat="1" applyFont="1" applyFill="1" applyBorder="1" applyAlignment="1">
      <alignment horizontal="center" vertical="top"/>
    </xf>
    <xf numFmtId="43" fontId="10" fillId="9" borderId="7" xfId="37" applyFont="1" applyFill="1" applyBorder="1" applyAlignment="1">
      <alignment horizontal="center" vertical="top"/>
    </xf>
    <xf numFmtId="0" fontId="2" fillId="9" borderId="7" xfId="0" applyFont="1" applyFill="1" applyBorder="1" applyAlignment="1">
      <alignment horizontal="center" vertical="center"/>
    </xf>
    <xf numFmtId="0" fontId="11" fillId="9" borderId="2" xfId="1" applyFont="1" applyFill="1" applyBorder="1" applyAlignment="1">
      <alignment horizontal="center" vertical="top"/>
    </xf>
    <xf numFmtId="0" fontId="11" fillId="9" borderId="3" xfId="1" applyFont="1" applyFill="1" applyBorder="1" applyAlignment="1">
      <alignment horizontal="center" vertical="top"/>
    </xf>
    <xf numFmtId="0" fontId="11" fillId="9" borderId="4" xfId="1" applyFont="1" applyFill="1" applyBorder="1" applyAlignment="1">
      <alignment horizontal="left" vertical="top" wrapText="1"/>
    </xf>
    <xf numFmtId="41" fontId="11" fillId="9" borderId="17" xfId="0" applyNumberFormat="1" applyFont="1" applyFill="1" applyBorder="1" applyAlignment="1">
      <alignment vertical="top"/>
    </xf>
    <xf numFmtId="41" fontId="11" fillId="9" borderId="16" xfId="0" applyNumberFormat="1" applyFont="1" applyFill="1" applyBorder="1" applyAlignment="1">
      <alignment vertical="top"/>
    </xf>
    <xf numFmtId="41" fontId="34" fillId="9" borderId="2" xfId="0" applyNumberFormat="1" applyFont="1" applyFill="1" applyBorder="1" applyAlignment="1">
      <alignment vertical="top"/>
    </xf>
    <xf numFmtId="41" fontId="21" fillId="9" borderId="2" xfId="0" applyNumberFormat="1" applyFont="1" applyFill="1" applyBorder="1" applyAlignment="1">
      <alignment vertical="top"/>
    </xf>
    <xf numFmtId="41" fontId="11" fillId="9" borderId="2" xfId="0" applyNumberFormat="1" applyFont="1" applyFill="1" applyBorder="1" applyAlignment="1">
      <alignment vertical="top"/>
    </xf>
    <xf numFmtId="43" fontId="11" fillId="9" borderId="2" xfId="37" applyFont="1" applyFill="1" applyBorder="1" applyAlignment="1">
      <alignment vertical="top"/>
    </xf>
    <xf numFmtId="0" fontId="10" fillId="9" borderId="3" xfId="1" applyFont="1" applyFill="1" applyBorder="1" applyAlignment="1">
      <alignment horizontal="left" vertical="top" wrapText="1"/>
    </xf>
    <xf numFmtId="41" fontId="16" fillId="9" borderId="11" xfId="0" applyNumberFormat="1" applyFont="1" applyFill="1" applyBorder="1" applyAlignment="1">
      <alignment vertical="top"/>
    </xf>
    <xf numFmtId="41" fontId="29" fillId="9" borderId="8" xfId="0" applyNumberFormat="1" applyFont="1" applyFill="1" applyBorder="1" applyAlignment="1">
      <alignment horizontal="center" vertical="center" wrapText="1"/>
    </xf>
    <xf numFmtId="41" fontId="10" fillId="9" borderId="0" xfId="1" applyNumberFormat="1" applyFont="1" applyFill="1" applyAlignment="1">
      <alignment horizontal="center" vertical="top"/>
    </xf>
    <xf numFmtId="41" fontId="21" fillId="9" borderId="12" xfId="0" applyNumberFormat="1" applyFont="1" applyFill="1" applyBorder="1" applyAlignment="1">
      <alignment horizontal="center" vertical="top" wrapText="1"/>
    </xf>
    <xf numFmtId="2" fontId="11" fillId="9" borderId="0" xfId="1" applyNumberFormat="1" applyFont="1" applyFill="1" applyAlignment="1">
      <alignment horizontal="center" vertical="top"/>
    </xf>
    <xf numFmtId="49" fontId="2" fillId="9" borderId="10" xfId="0" applyNumberFormat="1" applyFont="1" applyFill="1" applyBorder="1" applyAlignment="1">
      <alignment horizontal="center" vertical="center" wrapText="1"/>
    </xf>
    <xf numFmtId="49" fontId="2" fillId="9" borderId="11" xfId="0" applyNumberFormat="1" applyFont="1" applyFill="1" applyBorder="1" applyAlignment="1">
      <alignment horizontal="center" vertical="center" wrapText="1"/>
    </xf>
    <xf numFmtId="49" fontId="11" fillId="9" borderId="6" xfId="1" applyNumberFormat="1" applyFont="1" applyFill="1" applyBorder="1" applyAlignment="1">
      <alignment vertical="top" wrapText="1"/>
    </xf>
    <xf numFmtId="0" fontId="11" fillId="9" borderId="14" xfId="1" applyFont="1" applyFill="1" applyBorder="1" applyAlignment="1">
      <alignment vertical="top" wrapText="1"/>
    </xf>
    <xf numFmtId="41" fontId="36" fillId="9" borderId="12" xfId="0" applyNumberFormat="1" applyFont="1" applyFill="1" applyBorder="1" applyAlignment="1">
      <alignment horizontal="center" vertical="top" wrapText="1"/>
    </xf>
    <xf numFmtId="41" fontId="11" fillId="9" borderId="12" xfId="0" applyNumberFormat="1" applyFont="1" applyFill="1" applyBorder="1" applyAlignment="1">
      <alignment horizontal="center" vertical="top" wrapText="1"/>
    </xf>
    <xf numFmtId="41" fontId="15" fillId="9" borderId="10" xfId="0" applyNumberFormat="1" applyFont="1" applyFill="1" applyBorder="1" applyAlignment="1">
      <alignment horizontal="center" vertical="top" wrapText="1"/>
    </xf>
    <xf numFmtId="41" fontId="37" fillId="9" borderId="6" xfId="0" applyNumberFormat="1" applyFont="1" applyFill="1" applyBorder="1" applyAlignment="1">
      <alignment horizontal="center" vertical="center"/>
    </xf>
    <xf numFmtId="41" fontId="31" fillId="9" borderId="6" xfId="0" applyNumberFormat="1" applyFont="1" applyFill="1" applyBorder="1" applyAlignment="1">
      <alignment horizontal="center" vertical="center"/>
    </xf>
    <xf numFmtId="41" fontId="9" fillId="9" borderId="6" xfId="0" applyNumberFormat="1" applyFont="1" applyFill="1" applyBorder="1" applyAlignment="1">
      <alignment horizontal="center" vertical="center"/>
    </xf>
    <xf numFmtId="43" fontId="9" fillId="9" borderId="6" xfId="37" applyFont="1" applyFill="1" applyBorder="1" applyAlignment="1">
      <alignment horizontal="center" vertical="center"/>
    </xf>
    <xf numFmtId="188" fontId="11" fillId="9" borderId="8" xfId="37" applyNumberFormat="1" applyFont="1" applyFill="1" applyBorder="1" applyAlignment="1">
      <alignment vertical="top"/>
    </xf>
    <xf numFmtId="0" fontId="11" fillId="9" borderId="9" xfId="1" applyFont="1" applyFill="1" applyBorder="1" applyAlignment="1">
      <alignment horizontal="left" vertical="top"/>
    </xf>
    <xf numFmtId="41" fontId="11" fillId="9" borderId="11" xfId="1" applyNumberFormat="1" applyFont="1" applyFill="1" applyBorder="1" applyAlignment="1">
      <alignment vertical="top" wrapText="1"/>
    </xf>
    <xf numFmtId="41" fontId="34" fillId="9" borderId="8" xfId="3" applyNumberFormat="1" applyFont="1" applyFill="1" applyBorder="1" applyAlignment="1">
      <alignment vertical="top"/>
    </xf>
    <xf numFmtId="41" fontId="21" fillId="9" borderId="8" xfId="3" applyNumberFormat="1" applyFont="1" applyFill="1" applyBorder="1" applyAlignment="1">
      <alignment vertical="top"/>
    </xf>
    <xf numFmtId="0" fontId="2" fillId="9" borderId="11" xfId="0" applyFont="1" applyFill="1" applyBorder="1" applyAlignment="1">
      <alignment vertical="center" wrapText="1"/>
    </xf>
    <xf numFmtId="41" fontId="17" fillId="9" borderId="10" xfId="1" applyNumberFormat="1" applyFont="1" applyFill="1" applyBorder="1" applyAlignment="1">
      <alignment horizontal="left" vertical="top"/>
    </xf>
    <xf numFmtId="41" fontId="33" fillId="9" borderId="10" xfId="1" applyNumberFormat="1" applyFont="1" applyFill="1" applyBorder="1" applyAlignment="1">
      <alignment horizontal="left" vertical="top"/>
    </xf>
    <xf numFmtId="43" fontId="10" fillId="9" borderId="12" xfId="37" applyFont="1" applyFill="1" applyBorder="1" applyAlignment="1">
      <alignment horizontal="left" vertical="top"/>
    </xf>
    <xf numFmtId="41" fontId="34" fillId="9" borderId="17" xfId="0" applyNumberFormat="1" applyFont="1" applyFill="1" applyBorder="1" applyAlignment="1">
      <alignment vertical="top"/>
    </xf>
    <xf numFmtId="41" fontId="21" fillId="9" borderId="17" xfId="0" applyNumberFormat="1" applyFont="1" applyFill="1" applyBorder="1" applyAlignment="1">
      <alignment vertical="top"/>
    </xf>
    <xf numFmtId="43" fontId="11" fillId="9" borderId="17" xfId="37" applyFont="1" applyFill="1" applyBorder="1" applyAlignment="1">
      <alignment vertical="top"/>
    </xf>
    <xf numFmtId="41" fontId="11" fillId="9" borderId="7" xfId="0" applyNumberFormat="1" applyFont="1" applyFill="1" applyBorder="1" applyAlignment="1">
      <alignment vertical="top"/>
    </xf>
    <xf numFmtId="43" fontId="10" fillId="9" borderId="15" xfId="37" applyFont="1" applyFill="1" applyBorder="1" applyAlignment="1">
      <alignment horizontal="center" vertical="top"/>
    </xf>
    <xf numFmtId="41" fontId="17" fillId="9" borderId="15" xfId="1" applyNumberFormat="1" applyFont="1" applyFill="1" applyBorder="1" applyAlignment="1">
      <alignment horizontal="center" vertical="top"/>
    </xf>
    <xf numFmtId="41" fontId="33" fillId="9" borderId="15" xfId="1" applyNumberFormat="1" applyFont="1" applyFill="1" applyBorder="1" applyAlignment="1">
      <alignment horizontal="center" vertical="top"/>
    </xf>
    <xf numFmtId="41" fontId="10" fillId="9" borderId="15" xfId="1" applyNumberFormat="1" applyFont="1" applyFill="1" applyBorder="1" applyAlignment="1">
      <alignment horizontal="center" vertical="top"/>
    </xf>
    <xf numFmtId="189" fontId="11" fillId="9" borderId="12" xfId="0" applyNumberFormat="1" applyFont="1" applyFill="1" applyBorder="1" applyAlignment="1">
      <alignment vertical="top"/>
    </xf>
    <xf numFmtId="43" fontId="11" fillId="9" borderId="6" xfId="37" applyFont="1" applyFill="1" applyBorder="1" applyAlignment="1">
      <alignment vertical="top"/>
    </xf>
    <xf numFmtId="0" fontId="2" fillId="9" borderId="6" xfId="0" applyFont="1" applyFill="1" applyBorder="1" applyAlignment="1">
      <alignment horizontal="center" vertical="center" wrapText="1"/>
    </xf>
    <xf numFmtId="41" fontId="36" fillId="9" borderId="10" xfId="0" applyNumberFormat="1" applyFont="1" applyFill="1" applyBorder="1" applyAlignment="1">
      <alignment horizontal="center" vertical="top" wrapText="1"/>
    </xf>
    <xf numFmtId="41" fontId="21" fillId="9" borderId="6" xfId="0" applyNumberFormat="1" applyFont="1" applyFill="1" applyBorder="1" applyAlignment="1">
      <alignment horizontal="center" vertical="top" wrapText="1"/>
    </xf>
    <xf numFmtId="0" fontId="15" fillId="9" borderId="6" xfId="0" applyFont="1" applyFill="1" applyBorder="1" applyAlignment="1">
      <alignment horizontal="center" vertical="center" wrapText="1"/>
    </xf>
    <xf numFmtId="41" fontId="34" fillId="9" borderId="6" xfId="0" applyNumberFormat="1" applyFont="1" applyFill="1" applyBorder="1" applyAlignment="1">
      <alignment horizontal="center" vertical="top" wrapText="1"/>
    </xf>
    <xf numFmtId="41" fontId="21" fillId="9" borderId="6" xfId="0" applyNumberFormat="1" applyFont="1" applyFill="1" applyBorder="1" applyAlignment="1">
      <alignment vertical="top" wrapText="1"/>
    </xf>
    <xf numFmtId="0" fontId="11" fillId="9" borderId="1" xfId="1" applyFont="1" applyFill="1" applyBorder="1" applyAlignment="1">
      <alignment horizontal="left" vertical="top"/>
    </xf>
    <xf numFmtId="189" fontId="11" fillId="9" borderId="15" xfId="0" applyNumberFormat="1" applyFont="1" applyFill="1" applyBorder="1" applyAlignment="1">
      <alignment vertical="top"/>
    </xf>
    <xf numFmtId="189" fontId="11" fillId="9" borderId="1" xfId="0" applyNumberFormat="1" applyFont="1" applyFill="1" applyBorder="1" applyAlignment="1">
      <alignment vertical="top"/>
    </xf>
    <xf numFmtId="41" fontId="21" fillId="9" borderId="9" xfId="0" applyNumberFormat="1" applyFont="1" applyFill="1" applyBorder="1" applyAlignment="1">
      <alignment horizontal="center" vertical="top" wrapText="1"/>
    </xf>
    <xf numFmtId="43" fontId="11" fillId="9" borderId="9" xfId="37" applyFont="1" applyFill="1" applyBorder="1" applyAlignment="1">
      <alignment vertical="top"/>
    </xf>
    <xf numFmtId="0" fontId="15" fillId="9" borderId="9" xfId="0" applyFont="1" applyFill="1" applyBorder="1" applyAlignment="1">
      <alignment horizontal="center" vertical="center" wrapText="1"/>
    </xf>
    <xf numFmtId="43" fontId="10" fillId="9" borderId="6" xfId="37" applyFont="1" applyFill="1" applyBorder="1" applyAlignment="1">
      <alignment horizontal="center" vertical="top"/>
    </xf>
    <xf numFmtId="0" fontId="2" fillId="9" borderId="9" xfId="0" applyFont="1" applyFill="1" applyBorder="1" applyAlignment="1">
      <alignment horizontal="center" vertical="center"/>
    </xf>
    <xf numFmtId="41" fontId="21" fillId="9" borderId="10" xfId="0" applyNumberFormat="1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/>
    </xf>
    <xf numFmtId="0" fontId="10" fillId="9" borderId="20" xfId="1" applyFont="1" applyFill="1" applyBorder="1" applyAlignment="1">
      <alignment horizontal="center" vertical="top"/>
    </xf>
    <xf numFmtId="0" fontId="10" fillId="9" borderId="21" xfId="1" applyFont="1" applyFill="1" applyBorder="1" applyAlignment="1">
      <alignment horizontal="center" vertical="top"/>
    </xf>
    <xf numFmtId="0" fontId="11" fillId="9" borderId="18" xfId="1" applyFont="1" applyFill="1" applyBorder="1" applyAlignment="1">
      <alignment horizontal="left" vertical="top" wrapText="1"/>
    </xf>
    <xf numFmtId="41" fontId="11" fillId="9" borderId="19" xfId="0" applyNumberFormat="1" applyFont="1" applyFill="1" applyBorder="1" applyAlignment="1">
      <alignment vertical="top"/>
    </xf>
    <xf numFmtId="41" fontId="11" fillId="9" borderId="20" xfId="0" applyNumberFormat="1" applyFont="1" applyFill="1" applyBorder="1" applyAlignment="1">
      <alignment vertical="top"/>
    </xf>
    <xf numFmtId="41" fontId="34" fillId="9" borderId="20" xfId="0" applyNumberFormat="1" applyFont="1" applyFill="1" applyBorder="1" applyAlignment="1">
      <alignment vertical="top"/>
    </xf>
    <xf numFmtId="41" fontId="21" fillId="9" borderId="20" xfId="0" applyNumberFormat="1" applyFont="1" applyFill="1" applyBorder="1" applyAlignment="1">
      <alignment vertical="top"/>
    </xf>
    <xf numFmtId="0" fontId="2" fillId="9" borderId="19" xfId="0" applyFont="1" applyFill="1" applyBorder="1" applyAlignment="1">
      <alignment horizontal="center" vertical="center" wrapText="1"/>
    </xf>
    <xf numFmtId="41" fontId="11" fillId="9" borderId="6" xfId="1" applyNumberFormat="1" applyFont="1" applyFill="1" applyBorder="1" applyAlignment="1">
      <alignment horizontal="left" vertical="top" wrapText="1"/>
    </xf>
    <xf numFmtId="41" fontId="11" fillId="9" borderId="9" xfId="1" applyNumberFormat="1" applyFont="1" applyFill="1" applyBorder="1" applyAlignment="1">
      <alignment horizontal="left" vertical="top" wrapText="1"/>
    </xf>
    <xf numFmtId="41" fontId="2" fillId="9" borderId="11" xfId="1" applyNumberFormat="1" applyFont="1" applyFill="1" applyBorder="1" applyAlignment="1">
      <alignment horizontal="center" vertical="center" wrapText="1"/>
    </xf>
    <xf numFmtId="41" fontId="2" fillId="9" borderId="10" xfId="1" applyNumberFormat="1" applyFont="1" applyFill="1" applyBorder="1" applyAlignment="1">
      <alignment horizontal="center" vertical="center" wrapText="1"/>
    </xf>
    <xf numFmtId="41" fontId="11" fillId="9" borderId="14" xfId="1" applyNumberFormat="1" applyFont="1" applyFill="1" applyBorder="1" applyAlignment="1">
      <alignment horizontal="left" vertical="top" wrapText="1"/>
    </xf>
    <xf numFmtId="41" fontId="11" fillId="9" borderId="5" xfId="1" applyNumberFormat="1" applyFont="1" applyFill="1" applyBorder="1" applyAlignment="1">
      <alignment horizontal="left" vertical="top" wrapText="1"/>
    </xf>
    <xf numFmtId="0" fontId="10" fillId="9" borderId="1" xfId="1" applyFont="1" applyFill="1" applyBorder="1" applyAlignment="1">
      <alignment horizontal="left" vertical="top" wrapText="1"/>
    </xf>
    <xf numFmtId="41" fontId="11" fillId="9" borderId="1" xfId="0" applyNumberFormat="1" applyFont="1" applyFill="1" applyBorder="1" applyAlignment="1">
      <alignment vertical="top"/>
    </xf>
    <xf numFmtId="0" fontId="2" fillId="9" borderId="11" xfId="0" applyFont="1" applyFill="1" applyBorder="1" applyAlignment="1">
      <alignment horizontal="center" vertical="top" wrapText="1"/>
    </xf>
    <xf numFmtId="41" fontId="34" fillId="9" borderId="8" xfId="0" applyNumberFormat="1" applyFont="1" applyFill="1" applyBorder="1" applyAlignment="1">
      <alignment horizontal="center" vertical="top" wrapText="1"/>
    </xf>
    <xf numFmtId="41" fontId="21" fillId="9" borderId="0" xfId="1" applyNumberFormat="1" applyFont="1" applyFill="1" applyAlignment="1">
      <alignment horizontal="center" vertical="top"/>
    </xf>
    <xf numFmtId="41" fontId="34" fillId="9" borderId="0" xfId="1" applyNumberFormat="1" applyFont="1" applyFill="1" applyAlignment="1">
      <alignment horizontal="center" vertical="top"/>
    </xf>
    <xf numFmtId="43" fontId="11" fillId="9" borderId="0" xfId="37" applyFont="1" applyFill="1" applyAlignment="1">
      <alignment horizontal="center" vertical="top"/>
    </xf>
    <xf numFmtId="43" fontId="11" fillId="9" borderId="0" xfId="1" applyNumberFormat="1" applyFont="1" applyFill="1" applyAlignment="1">
      <alignment horizontal="center" vertical="top"/>
    </xf>
    <xf numFmtId="0" fontId="10" fillId="9" borderId="5" xfId="1" applyFont="1" applyFill="1" applyBorder="1" applyAlignment="1">
      <alignment horizontal="left" vertical="top" wrapText="1"/>
    </xf>
    <xf numFmtId="41" fontId="21" fillId="9" borderId="7" xfId="0" applyNumberFormat="1" applyFont="1" applyFill="1" applyBorder="1" applyAlignment="1">
      <alignment horizontal="center" vertical="top" wrapText="1"/>
    </xf>
    <xf numFmtId="43" fontId="39" fillId="2" borderId="10" xfId="37" applyFont="1" applyFill="1" applyBorder="1"/>
    <xf numFmtId="0" fontId="10" fillId="9" borderId="5" xfId="1" applyFont="1" applyFill="1" applyBorder="1" applyAlignment="1">
      <alignment horizontal="left" vertical="top" wrapText="1"/>
    </xf>
    <xf numFmtId="41" fontId="10" fillId="9" borderId="11" xfId="0" applyNumberFormat="1" applyFont="1" applyFill="1" applyBorder="1" applyAlignment="1">
      <alignment horizontal="center" vertical="center" wrapText="1"/>
    </xf>
    <xf numFmtId="41" fontId="10" fillId="9" borderId="10" xfId="0" applyNumberFormat="1" applyFont="1" applyFill="1" applyBorder="1" applyAlignment="1">
      <alignment horizontal="center" vertical="center" wrapText="1"/>
    </xf>
    <xf numFmtId="0" fontId="10" fillId="9" borderId="0" xfId="29" applyFont="1" applyFill="1" applyAlignment="1">
      <alignment vertical="top" wrapText="1"/>
    </xf>
    <xf numFmtId="0" fontId="10" fillId="9" borderId="0" xfId="29" applyFont="1" applyFill="1" applyBorder="1" applyAlignment="1">
      <alignment horizontal="center" vertical="top" wrapText="1"/>
    </xf>
    <xf numFmtId="0" fontId="10" fillId="9" borderId="0" xfId="29" applyFont="1" applyFill="1" applyAlignment="1">
      <alignment horizontal="center" vertical="center" wrapText="1"/>
    </xf>
    <xf numFmtId="0" fontId="10" fillId="9" borderId="10" xfId="29" applyFont="1" applyFill="1" applyBorder="1" applyAlignment="1">
      <alignment horizontal="left" vertical="top" wrapText="1"/>
    </xf>
    <xf numFmtId="0" fontId="10" fillId="9" borderId="0" xfId="29" applyFont="1" applyFill="1" applyAlignment="1">
      <alignment horizontal="center" vertical="top" wrapText="1"/>
    </xf>
    <xf numFmtId="41" fontId="10" fillId="9" borderId="10" xfId="0" applyNumberFormat="1" applyFont="1" applyFill="1" applyBorder="1" applyAlignment="1">
      <alignment horizontal="center" vertical="top" wrapText="1"/>
    </xf>
    <xf numFmtId="0" fontId="10" fillId="9" borderId="10" xfId="29" applyFont="1" applyFill="1" applyBorder="1" applyAlignment="1">
      <alignment horizontal="center" vertical="top"/>
    </xf>
    <xf numFmtId="0" fontId="4" fillId="9" borderId="10" xfId="29" applyFont="1" applyFill="1" applyBorder="1" applyAlignment="1">
      <alignment horizontal="center" vertical="center" wrapText="1"/>
    </xf>
    <xf numFmtId="0" fontId="11" fillId="9" borderId="0" xfId="29" applyFont="1" applyFill="1" applyAlignment="1">
      <alignment vertical="top" wrapText="1"/>
    </xf>
    <xf numFmtId="0" fontId="11" fillId="9" borderId="12" xfId="29" applyFont="1" applyFill="1" applyBorder="1" applyAlignment="1">
      <alignment horizontal="center" vertical="top"/>
    </xf>
    <xf numFmtId="41" fontId="11" fillId="9" borderId="10" xfId="0" applyNumberFormat="1" applyFont="1" applyFill="1" applyBorder="1" applyAlignment="1">
      <alignment horizontal="right" vertical="top"/>
    </xf>
    <xf numFmtId="41" fontId="19" fillId="9" borderId="10" xfId="0" applyNumberFormat="1" applyFont="1" applyFill="1" applyBorder="1" applyAlignment="1">
      <alignment vertical="top" wrapText="1"/>
    </xf>
    <xf numFmtId="0" fontId="11" fillId="9" borderId="3" xfId="29" applyFont="1" applyFill="1" applyBorder="1" applyAlignment="1">
      <alignment horizontal="left" vertical="top" wrapText="1"/>
    </xf>
    <xf numFmtId="0" fontId="11" fillId="9" borderId="4" xfId="29" applyFont="1" applyFill="1" applyBorder="1" applyAlignment="1">
      <alignment horizontal="left" vertical="top" wrapText="1"/>
    </xf>
    <xf numFmtId="0" fontId="11" fillId="9" borderId="0" xfId="29" applyFont="1" applyFill="1" applyAlignment="1">
      <alignment vertical="top"/>
    </xf>
    <xf numFmtId="0" fontId="11" fillId="9" borderId="8" xfId="29" applyFont="1" applyFill="1" applyBorder="1" applyAlignment="1">
      <alignment horizontal="center" vertical="top"/>
    </xf>
    <xf numFmtId="41" fontId="19" fillId="9" borderId="10" xfId="0" applyNumberFormat="1" applyFont="1" applyFill="1" applyBorder="1" applyAlignment="1">
      <alignment horizontal="right" vertical="top"/>
    </xf>
    <xf numFmtId="0" fontId="11" fillId="9" borderId="5" xfId="29" applyFont="1" applyFill="1" applyBorder="1" applyAlignment="1">
      <alignment horizontal="left" vertical="top"/>
    </xf>
    <xf numFmtId="0" fontId="11" fillId="9" borderId="6" xfId="29" applyFont="1" applyFill="1" applyBorder="1" applyAlignment="1">
      <alignment horizontal="left" vertical="top" wrapText="1"/>
    </xf>
    <xf numFmtId="0" fontId="10" fillId="9" borderId="10" xfId="29" applyFont="1" applyFill="1" applyBorder="1" applyAlignment="1">
      <alignment horizontal="center" vertical="top" wrapText="1"/>
    </xf>
    <xf numFmtId="41" fontId="10" fillId="9" borderId="7" xfId="0" applyNumberFormat="1" applyFont="1" applyFill="1" applyBorder="1" applyAlignment="1">
      <alignment horizontal="right" vertical="top"/>
    </xf>
    <xf numFmtId="43" fontId="10" fillId="9" borderId="7" xfId="37" applyFont="1" applyFill="1" applyBorder="1" applyAlignment="1">
      <alignment horizontal="right" vertical="top"/>
    </xf>
    <xf numFmtId="41" fontId="10" fillId="9" borderId="12" xfId="0" applyNumberFormat="1" applyFont="1" applyFill="1" applyBorder="1" applyAlignment="1">
      <alignment horizontal="right" vertical="top"/>
    </xf>
    <xf numFmtId="41" fontId="10" fillId="9" borderId="27" xfId="0" applyNumberFormat="1" applyFont="1" applyFill="1" applyBorder="1" applyAlignment="1">
      <alignment vertical="top" wrapText="1"/>
    </xf>
    <xf numFmtId="41" fontId="10" fillId="9" borderId="10" xfId="0" applyNumberFormat="1" applyFont="1" applyFill="1" applyBorder="1" applyAlignment="1">
      <alignment vertical="top" wrapText="1"/>
    </xf>
    <xf numFmtId="0" fontId="10" fillId="9" borderId="11" xfId="29" applyFont="1" applyFill="1" applyBorder="1" applyAlignment="1">
      <alignment horizontal="center" vertical="top"/>
    </xf>
    <xf numFmtId="43" fontId="10" fillId="9" borderId="11" xfId="37" applyFont="1" applyFill="1" applyBorder="1" applyAlignment="1">
      <alignment horizontal="right" vertical="top"/>
    </xf>
    <xf numFmtId="41" fontId="10" fillId="9" borderId="11" xfId="0" applyNumberFormat="1" applyFont="1" applyFill="1" applyBorder="1" applyAlignment="1">
      <alignment horizontal="right" vertical="top"/>
    </xf>
    <xf numFmtId="41" fontId="12" fillId="9" borderId="11" xfId="0" applyNumberFormat="1" applyFont="1" applyFill="1" applyBorder="1" applyAlignment="1">
      <alignment horizontal="right" vertical="top"/>
    </xf>
    <xf numFmtId="43" fontId="10" fillId="9" borderId="26" xfId="37" applyFont="1" applyFill="1" applyBorder="1" applyAlignment="1">
      <alignment vertical="top" wrapText="1"/>
    </xf>
    <xf numFmtId="41" fontId="2" fillId="9" borderId="10" xfId="0" applyNumberFormat="1" applyFont="1" applyFill="1" applyBorder="1" applyAlignment="1">
      <alignment horizontal="center" vertical="top" wrapText="1"/>
    </xf>
    <xf numFmtId="41" fontId="12" fillId="9" borderId="10" xfId="0" applyNumberFormat="1" applyFont="1" applyFill="1" applyBorder="1" applyAlignment="1">
      <alignment vertical="top" wrapText="1"/>
    </xf>
    <xf numFmtId="0" fontId="10" fillId="9" borderId="15" xfId="29" applyFont="1" applyFill="1" applyBorder="1" applyAlignment="1">
      <alignment horizontal="center" vertical="top"/>
    </xf>
    <xf numFmtId="41" fontId="11" fillId="9" borderId="7" xfId="0" applyNumberFormat="1" applyFont="1" applyFill="1" applyBorder="1" applyAlignment="1">
      <alignment horizontal="right" vertical="top"/>
    </xf>
    <xf numFmtId="0" fontId="10" fillId="9" borderId="12" xfId="29" applyFont="1" applyFill="1" applyBorder="1" applyAlignment="1">
      <alignment vertical="top" wrapText="1"/>
    </xf>
    <xf numFmtId="41" fontId="10" fillId="9" borderId="26" xfId="0" applyNumberFormat="1" applyFont="1" applyFill="1" applyBorder="1" applyAlignment="1">
      <alignment vertical="top" wrapText="1"/>
    </xf>
    <xf numFmtId="0" fontId="11" fillId="9" borderId="12" xfId="29" applyFont="1" applyFill="1" applyBorder="1" applyAlignment="1">
      <alignment vertical="top" wrapText="1"/>
    </xf>
    <xf numFmtId="0" fontId="10" fillId="9" borderId="0" xfId="29" applyFont="1" applyFill="1" applyBorder="1" applyAlignment="1">
      <alignment vertical="top" wrapText="1"/>
    </xf>
    <xf numFmtId="41" fontId="19" fillId="9" borderId="11" xfId="0" applyNumberFormat="1" applyFont="1" applyFill="1" applyBorder="1" applyAlignment="1">
      <alignment vertical="top" wrapText="1"/>
    </xf>
    <xf numFmtId="41" fontId="10" fillId="9" borderId="10" xfId="29" applyNumberFormat="1" applyFont="1" applyFill="1" applyBorder="1" applyAlignment="1">
      <alignment horizontal="left" vertical="top" wrapText="1"/>
    </xf>
    <xf numFmtId="1" fontId="11" fillId="9" borderId="0" xfId="29" applyNumberFormat="1" applyFont="1" applyFill="1" applyAlignment="1">
      <alignment horizontal="center" vertical="top" wrapText="1"/>
    </xf>
    <xf numFmtId="0" fontId="11" fillId="9" borderId="0" xfId="29" applyFont="1" applyFill="1" applyAlignment="1">
      <alignment horizontal="left" vertical="top" wrapText="1"/>
    </xf>
    <xf numFmtId="15" fontId="11" fillId="9" borderId="0" xfId="1" applyNumberFormat="1" applyFont="1" applyFill="1" applyAlignment="1">
      <alignment horizontal="center" vertical="top"/>
    </xf>
    <xf numFmtId="0" fontId="2" fillId="9" borderId="1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top" wrapText="1"/>
    </xf>
    <xf numFmtId="0" fontId="10" fillId="9" borderId="5" xfId="29" applyFont="1" applyFill="1" applyBorder="1" applyAlignment="1">
      <alignment horizontal="left" vertical="top" wrapText="1"/>
    </xf>
    <xf numFmtId="0" fontId="10" fillId="9" borderId="6" xfId="29" applyFont="1" applyFill="1" applyBorder="1" applyAlignment="1">
      <alignment horizontal="left" vertical="top" wrapText="1"/>
    </xf>
    <xf numFmtId="0" fontId="10" fillId="9" borderId="10" xfId="29" applyFont="1" applyFill="1" applyBorder="1" applyAlignment="1">
      <alignment horizontal="center" vertical="top" wrapText="1"/>
    </xf>
    <xf numFmtId="0" fontId="11" fillId="9" borderId="5" xfId="29" applyFont="1" applyFill="1" applyBorder="1" applyAlignment="1">
      <alignment horizontal="left" vertical="top" wrapText="1"/>
    </xf>
    <xf numFmtId="0" fontId="11" fillId="9" borderId="6" xfId="29" applyFont="1" applyFill="1" applyBorder="1" applyAlignment="1">
      <alignment horizontal="left" vertical="top" wrapText="1"/>
    </xf>
    <xf numFmtId="0" fontId="10" fillId="9" borderId="12" xfId="29" applyFont="1" applyFill="1" applyBorder="1" applyAlignment="1">
      <alignment horizontal="left" vertical="top" wrapText="1"/>
    </xf>
    <xf numFmtId="0" fontId="10" fillId="9" borderId="0" xfId="29" applyFont="1" applyFill="1" applyBorder="1" applyAlignment="1">
      <alignment horizontal="left" vertical="top" wrapText="1"/>
    </xf>
    <xf numFmtId="0" fontId="10" fillId="9" borderId="14" xfId="29" applyFont="1" applyFill="1" applyBorder="1" applyAlignment="1">
      <alignment horizontal="left" vertical="top" wrapText="1"/>
    </xf>
    <xf numFmtId="0" fontId="10" fillId="9" borderId="13" xfId="29" applyFont="1" applyFill="1" applyBorder="1" applyAlignment="1">
      <alignment horizontal="left" vertical="top" wrapText="1"/>
    </xf>
    <xf numFmtId="0" fontId="10" fillId="9" borderId="0" xfId="29" applyFont="1" applyFill="1" applyBorder="1" applyAlignment="1">
      <alignment horizontal="left" vertical="top"/>
    </xf>
    <xf numFmtId="0" fontId="10" fillId="9" borderId="8" xfId="29" applyFont="1" applyFill="1" applyBorder="1" applyAlignment="1">
      <alignment horizontal="left" vertical="top" wrapText="1"/>
    </xf>
    <xf numFmtId="0" fontId="10" fillId="9" borderId="9" xfId="29" applyFont="1" applyFill="1" applyBorder="1" applyAlignment="1">
      <alignment horizontal="left" vertical="top" wrapText="1"/>
    </xf>
    <xf numFmtId="0" fontId="10" fillId="9" borderId="0" xfId="29" applyFont="1" applyFill="1" applyAlignment="1">
      <alignment horizontal="center" vertical="top"/>
    </xf>
    <xf numFmtId="1" fontId="10" fillId="9" borderId="22" xfId="29" applyNumberFormat="1" applyFont="1" applyFill="1" applyBorder="1" applyAlignment="1">
      <alignment horizontal="center" vertical="center" wrapText="1"/>
    </xf>
    <xf numFmtId="1" fontId="10" fillId="9" borderId="23" xfId="29" applyNumberFormat="1" applyFont="1" applyFill="1" applyBorder="1" applyAlignment="1">
      <alignment horizontal="center" vertical="center" wrapText="1"/>
    </xf>
    <xf numFmtId="0" fontId="10" fillId="9" borderId="22" xfId="29" applyFont="1" applyFill="1" applyBorder="1" applyAlignment="1">
      <alignment horizontal="center" vertical="center" wrapText="1"/>
    </xf>
    <xf numFmtId="0" fontId="10" fillId="9" borderId="24" xfId="29" applyFont="1" applyFill="1" applyBorder="1" applyAlignment="1">
      <alignment horizontal="center" vertical="center" wrapText="1"/>
    </xf>
    <xf numFmtId="0" fontId="10" fillId="9" borderId="23" xfId="29" applyFont="1" applyFill="1" applyBorder="1" applyAlignment="1">
      <alignment horizontal="center" vertical="center" wrapText="1"/>
    </xf>
    <xf numFmtId="0" fontId="10" fillId="9" borderId="25" xfId="29" applyFont="1" applyFill="1" applyBorder="1" applyAlignment="1">
      <alignment horizontal="center" vertical="center" wrapText="1"/>
    </xf>
    <xf numFmtId="0" fontId="10" fillId="9" borderId="4" xfId="29" applyFont="1" applyFill="1" applyBorder="1" applyAlignment="1">
      <alignment horizontal="center" vertical="center" wrapText="1"/>
    </xf>
    <xf numFmtId="0" fontId="10" fillId="9" borderId="9" xfId="29" applyFont="1" applyFill="1" applyBorder="1" applyAlignment="1">
      <alignment horizontal="center" vertical="center" wrapText="1"/>
    </xf>
    <xf numFmtId="0" fontId="9" fillId="9" borderId="1" xfId="29" applyFont="1" applyFill="1" applyBorder="1" applyAlignment="1">
      <alignment horizontal="right" vertical="top" wrapText="1"/>
    </xf>
    <xf numFmtId="41" fontId="10" fillId="9" borderId="10" xfId="0" applyNumberFormat="1" applyFont="1" applyFill="1" applyBorder="1" applyAlignment="1">
      <alignment horizontal="center" vertical="center" wrapText="1"/>
    </xf>
    <xf numFmtId="41" fontId="10" fillId="9" borderId="10" xfId="29" applyNumberFormat="1" applyFont="1" applyFill="1" applyBorder="1" applyAlignment="1">
      <alignment horizontal="center" vertical="center" wrapText="1"/>
    </xf>
    <xf numFmtId="0" fontId="10" fillId="9" borderId="0" xfId="29" applyFont="1" applyFill="1" applyBorder="1" applyAlignment="1">
      <alignment horizontal="center" vertical="top" wrapText="1"/>
    </xf>
    <xf numFmtId="41" fontId="10" fillId="9" borderId="7" xfId="0" applyNumberFormat="1" applyFont="1" applyFill="1" applyBorder="1" applyAlignment="1">
      <alignment horizontal="center" vertical="center" wrapText="1"/>
    </xf>
    <xf numFmtId="41" fontId="10" fillId="9" borderId="11" xfId="0" applyNumberFormat="1" applyFont="1" applyFill="1" applyBorder="1" applyAlignment="1">
      <alignment horizontal="center" vertical="center" wrapText="1"/>
    </xf>
    <xf numFmtId="0" fontId="10" fillId="9" borderId="8" xfId="29" applyFont="1" applyFill="1" applyBorder="1" applyAlignment="1">
      <alignment horizontal="center" vertical="top" wrapText="1"/>
    </xf>
    <xf numFmtId="0" fontId="10" fillId="9" borderId="1" xfId="29" applyFont="1" applyFill="1" applyBorder="1" applyAlignment="1">
      <alignment horizontal="center" vertical="top" wrapText="1"/>
    </xf>
    <xf numFmtId="0" fontId="10" fillId="9" borderId="9" xfId="29" applyFont="1" applyFill="1" applyBorder="1" applyAlignment="1">
      <alignment horizontal="center" vertical="top" wrapText="1"/>
    </xf>
    <xf numFmtId="1" fontId="10" fillId="9" borderId="12" xfId="29" applyNumberFormat="1" applyFont="1" applyFill="1" applyBorder="1" applyAlignment="1">
      <alignment horizontal="left" vertical="top" wrapText="1"/>
    </xf>
    <xf numFmtId="1" fontId="10" fillId="9" borderId="5" xfId="29" applyNumberFormat="1" applyFont="1" applyFill="1" applyBorder="1" applyAlignment="1">
      <alignment horizontal="left" vertical="top" wrapText="1"/>
    </xf>
    <xf numFmtId="1" fontId="10" fillId="9" borderId="6" xfId="29" applyNumberFormat="1" applyFont="1" applyFill="1" applyBorder="1" applyAlignment="1">
      <alignment horizontal="left" vertical="top" wrapText="1"/>
    </xf>
    <xf numFmtId="0" fontId="11" fillId="9" borderId="1" xfId="29" applyFont="1" applyFill="1" applyBorder="1" applyAlignment="1">
      <alignment horizontal="left" vertical="top" wrapText="1"/>
    </xf>
    <xf numFmtId="0" fontId="11" fillId="9" borderId="9" xfId="29" applyFont="1" applyFill="1" applyBorder="1" applyAlignment="1">
      <alignment horizontal="left" vertical="top" wrapText="1"/>
    </xf>
    <xf numFmtId="0" fontId="10" fillId="9" borderId="1" xfId="29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41" fontId="11" fillId="0" borderId="10" xfId="0" applyNumberFormat="1" applyFont="1" applyFill="1" applyBorder="1" applyAlignment="1">
      <alignment horizontal="center" vertical="top" wrapText="1"/>
    </xf>
    <xf numFmtId="0" fontId="10" fillId="5" borderId="10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center" vertical="top" wrapText="1"/>
    </xf>
    <xf numFmtId="43" fontId="11" fillId="0" borderId="10" xfId="37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41" fontId="10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41" fontId="10" fillId="0" borderId="10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top"/>
    </xf>
    <xf numFmtId="0" fontId="10" fillId="4" borderId="11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left" vertical="top" wrapText="1"/>
    </xf>
    <xf numFmtId="0" fontId="10" fillId="6" borderId="10" xfId="0" applyFont="1" applyFill="1" applyBorder="1" applyAlignment="1">
      <alignment horizontal="left" vertical="top" wrapText="1"/>
    </xf>
    <xf numFmtId="0" fontId="10" fillId="7" borderId="10" xfId="0" applyFont="1" applyFill="1" applyBorder="1" applyAlignment="1">
      <alignment vertical="top" wrapText="1"/>
    </xf>
    <xf numFmtId="0" fontId="10" fillId="8" borderId="10" xfId="0" applyFont="1" applyFill="1" applyBorder="1" applyAlignment="1">
      <alignment vertical="top" wrapText="1"/>
    </xf>
    <xf numFmtId="41" fontId="11" fillId="9" borderId="10" xfId="0" applyNumberFormat="1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41" fontId="28" fillId="9" borderId="7" xfId="3" applyNumberFormat="1" applyFont="1" applyFill="1" applyBorder="1" applyAlignment="1">
      <alignment horizontal="center" vertical="center" wrapText="1"/>
    </xf>
    <xf numFmtId="41" fontId="28" fillId="9" borderId="11" xfId="3" applyNumberFormat="1" applyFont="1" applyFill="1" applyBorder="1" applyAlignment="1">
      <alignment horizontal="center" vertical="center" wrapText="1"/>
    </xf>
    <xf numFmtId="41" fontId="34" fillId="9" borderId="7" xfId="0" applyNumberFormat="1" applyFont="1" applyFill="1" applyBorder="1" applyAlignment="1">
      <alignment horizontal="center" vertical="center" wrapText="1"/>
    </xf>
    <xf numFmtId="41" fontId="34" fillId="9" borderId="11" xfId="0" applyNumberFormat="1" applyFont="1" applyFill="1" applyBorder="1" applyAlignment="1">
      <alignment horizontal="center" vertical="center" wrapText="1"/>
    </xf>
    <xf numFmtId="0" fontId="10" fillId="9" borderId="10" xfId="1" applyFont="1" applyFill="1" applyBorder="1" applyAlignment="1">
      <alignment horizontal="left" vertical="top" wrapText="1"/>
    </xf>
    <xf numFmtId="0" fontId="10" fillId="9" borderId="5" xfId="1" applyFont="1" applyFill="1" applyBorder="1" applyAlignment="1">
      <alignment horizontal="left" vertical="top" wrapText="1"/>
    </xf>
    <xf numFmtId="0" fontId="10" fillId="9" borderId="6" xfId="1" applyFont="1" applyFill="1" applyBorder="1" applyAlignment="1">
      <alignment horizontal="left" vertical="top" wrapText="1"/>
    </xf>
    <xf numFmtId="0" fontId="10" fillId="9" borderId="1" xfId="1" applyFont="1" applyFill="1" applyBorder="1" applyAlignment="1">
      <alignment horizontal="left" vertical="top" wrapText="1"/>
    </xf>
    <xf numFmtId="0" fontId="10" fillId="9" borderId="9" xfId="1" applyFont="1" applyFill="1" applyBorder="1" applyAlignment="1">
      <alignment horizontal="left" vertical="top" wrapText="1"/>
    </xf>
    <xf numFmtId="41" fontId="17" fillId="9" borderId="1" xfId="1" applyNumberFormat="1" applyFont="1" applyFill="1" applyBorder="1" applyAlignment="1">
      <alignment horizontal="center" vertical="top"/>
    </xf>
    <xf numFmtId="0" fontId="10" fillId="9" borderId="0" xfId="1" applyFont="1" applyFill="1" applyAlignment="1">
      <alignment horizontal="center" vertical="top"/>
    </xf>
    <xf numFmtId="0" fontId="10" fillId="9" borderId="3" xfId="1" applyFont="1" applyFill="1" applyBorder="1" applyAlignment="1">
      <alignment horizontal="left" vertical="top" wrapText="1"/>
    </xf>
    <xf numFmtId="0" fontId="10" fillId="9" borderId="4" xfId="1" applyFont="1" applyFill="1" applyBorder="1" applyAlignment="1">
      <alignment horizontal="left" vertical="top" wrapText="1"/>
    </xf>
    <xf numFmtId="0" fontId="10" fillId="9" borderId="5" xfId="1" applyFont="1" applyFill="1" applyBorder="1" applyAlignment="1">
      <alignment horizontal="left" vertical="top"/>
    </xf>
    <xf numFmtId="0" fontId="10" fillId="9" borderId="6" xfId="1" applyFont="1" applyFill="1" applyBorder="1" applyAlignment="1">
      <alignment horizontal="left" vertical="top"/>
    </xf>
    <xf numFmtId="0" fontId="10" fillId="9" borderId="7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/>
    </xf>
    <xf numFmtId="0" fontId="13" fillId="9" borderId="12" xfId="1" applyFont="1" applyFill="1" applyBorder="1" applyAlignment="1">
      <alignment horizontal="center" vertical="top" wrapText="1"/>
    </xf>
    <xf numFmtId="0" fontId="13" fillId="9" borderId="5" xfId="1" applyFont="1" applyFill="1" applyBorder="1" applyAlignment="1">
      <alignment horizontal="center" vertical="top" wrapText="1"/>
    </xf>
    <xf numFmtId="0" fontId="13" fillId="9" borderId="6" xfId="1" applyFont="1" applyFill="1" applyBorder="1" applyAlignment="1">
      <alignment horizontal="center" vertical="top" wrapText="1"/>
    </xf>
    <xf numFmtId="0" fontId="10" fillId="9" borderId="0" xfId="1" applyFont="1" applyFill="1" applyBorder="1" applyAlignment="1">
      <alignment horizontal="left" vertical="top" wrapText="1"/>
    </xf>
    <xf numFmtId="0" fontId="10" fillId="9" borderId="14" xfId="1" applyFont="1" applyFill="1" applyBorder="1" applyAlignment="1">
      <alignment horizontal="left" vertical="top" wrapText="1"/>
    </xf>
    <xf numFmtId="0" fontId="10" fillId="9" borderId="12" xfId="1" applyFont="1" applyFill="1" applyBorder="1" applyAlignment="1">
      <alignment horizontal="left" vertical="top" wrapText="1"/>
    </xf>
    <xf numFmtId="0" fontId="10" fillId="9" borderId="2" xfId="1" applyFont="1" applyFill="1" applyBorder="1" applyAlignment="1">
      <alignment horizontal="center" vertical="center" wrapText="1"/>
    </xf>
    <xf numFmtId="0" fontId="10" fillId="9" borderId="3" xfId="1" applyFont="1" applyFill="1" applyBorder="1" applyAlignment="1">
      <alignment horizontal="center" vertical="center" wrapText="1"/>
    </xf>
    <xf numFmtId="0" fontId="10" fillId="9" borderId="4" xfId="1" applyFont="1" applyFill="1" applyBorder="1" applyAlignment="1">
      <alignment horizontal="center" vertical="center" wrapText="1"/>
    </xf>
    <xf numFmtId="0" fontId="10" fillId="9" borderId="8" xfId="1" applyFont="1" applyFill="1" applyBorder="1" applyAlignment="1">
      <alignment horizontal="center" vertical="center" wrapText="1"/>
    </xf>
    <xf numFmtId="0" fontId="10" fillId="9" borderId="1" xfId="1" applyFont="1" applyFill="1" applyBorder="1" applyAlignment="1">
      <alignment horizontal="center" vertical="center" wrapText="1"/>
    </xf>
    <xf numFmtId="0" fontId="10" fillId="9" borderId="9" xfId="1" applyFont="1" applyFill="1" applyBorder="1" applyAlignment="1">
      <alignment horizontal="center" vertical="center" wrapText="1"/>
    </xf>
    <xf numFmtId="0" fontId="10" fillId="9" borderId="10" xfId="1" applyFont="1" applyFill="1" applyBorder="1" applyAlignment="1">
      <alignment horizontal="center" vertical="top"/>
    </xf>
    <xf numFmtId="0" fontId="10" fillId="9" borderId="8" xfId="1" applyFont="1" applyFill="1" applyBorder="1" applyAlignment="1">
      <alignment horizontal="left" vertical="top" wrapText="1"/>
    </xf>
    <xf numFmtId="41" fontId="10" fillId="9" borderId="2" xfId="0" applyNumberFormat="1" applyFont="1" applyFill="1" applyBorder="1" applyAlignment="1">
      <alignment horizontal="center" vertical="center" wrapText="1"/>
    </xf>
    <xf numFmtId="41" fontId="10" fillId="9" borderId="3" xfId="0" applyNumberFormat="1" applyFont="1" applyFill="1" applyBorder="1" applyAlignment="1">
      <alignment horizontal="center" vertical="center" wrapText="1"/>
    </xf>
    <xf numFmtId="41" fontId="10" fillId="9" borderId="4" xfId="0" applyNumberFormat="1" applyFont="1" applyFill="1" applyBorder="1" applyAlignment="1">
      <alignment horizontal="center" vertical="center" wrapText="1"/>
    </xf>
    <xf numFmtId="0" fontId="13" fillId="9" borderId="12" xfId="1" applyFont="1" applyFill="1" applyBorder="1" applyAlignment="1">
      <alignment horizontal="left" vertical="top" wrapText="1"/>
    </xf>
    <xf numFmtId="0" fontId="13" fillId="9" borderId="5" xfId="1" applyFont="1" applyFill="1" applyBorder="1" applyAlignment="1">
      <alignment horizontal="left" vertical="top" wrapText="1"/>
    </xf>
    <xf numFmtId="0" fontId="13" fillId="9" borderId="6" xfId="1" applyFont="1" applyFill="1" applyBorder="1" applyAlignment="1">
      <alignment horizontal="left" vertical="top" wrapText="1"/>
    </xf>
    <xf numFmtId="0" fontId="10" fillId="9" borderId="11" xfId="1" applyFont="1" applyFill="1" applyBorder="1" applyAlignment="1">
      <alignment horizontal="left" vertical="top" wrapText="1"/>
    </xf>
    <xf numFmtId="0" fontId="10" fillId="9" borderId="12" xfId="1" applyFont="1" applyFill="1" applyBorder="1" applyAlignment="1">
      <alignment horizontal="left" vertical="top"/>
    </xf>
    <xf numFmtId="41" fontId="3" fillId="9" borderId="1" xfId="1" applyNumberFormat="1" applyFont="1" applyFill="1" applyBorder="1" applyAlignment="1">
      <alignment horizontal="right" vertical="center"/>
    </xf>
    <xf numFmtId="0" fontId="18" fillId="9" borderId="13" xfId="1" applyFont="1" applyFill="1" applyBorder="1" applyAlignment="1">
      <alignment horizontal="center" vertical="top" wrapText="1"/>
    </xf>
    <xf numFmtId="0" fontId="18" fillId="9" borderId="0" xfId="1" applyFont="1" applyFill="1" applyBorder="1" applyAlignment="1">
      <alignment horizontal="center" vertical="top" wrapText="1"/>
    </xf>
    <xf numFmtId="41" fontId="10" fillId="9" borderId="8" xfId="0" applyNumberFormat="1" applyFont="1" applyFill="1" applyBorder="1" applyAlignment="1">
      <alignment horizontal="center" vertical="center" wrapText="1"/>
    </xf>
    <xf numFmtId="0" fontId="13" fillId="9" borderId="10" xfId="1" applyFont="1" applyFill="1" applyBorder="1" applyAlignment="1">
      <alignment horizontal="left" vertical="top" wrapText="1"/>
    </xf>
    <xf numFmtId="0" fontId="20" fillId="0" borderId="0" xfId="16" applyFont="1" applyAlignment="1">
      <alignment horizontal="center" vertical="center" wrapText="1"/>
    </xf>
    <xf numFmtId="0" fontId="20" fillId="0" borderId="0" xfId="16" applyFont="1" applyAlignment="1">
      <alignment horizontal="center" vertical="center"/>
    </xf>
    <xf numFmtId="0" fontId="10" fillId="10" borderId="10" xfId="16" applyFont="1" applyFill="1" applyBorder="1" applyAlignment="1">
      <alignment horizontal="center" vertical="center" wrapText="1"/>
    </xf>
    <xf numFmtId="0" fontId="23" fillId="9" borderId="5" xfId="1" applyFont="1" applyFill="1" applyBorder="1" applyAlignment="1">
      <alignment horizontal="left" vertical="top" wrapText="1"/>
    </xf>
    <xf numFmtId="0" fontId="23" fillId="9" borderId="6" xfId="1" applyFont="1" applyFill="1" applyBorder="1" applyAlignment="1">
      <alignment horizontal="left" vertical="top" wrapText="1"/>
    </xf>
    <xf numFmtId="0" fontId="22" fillId="9" borderId="5" xfId="1" applyFont="1" applyFill="1" applyBorder="1" applyAlignment="1">
      <alignment horizontal="left" vertical="top" wrapText="1"/>
    </xf>
    <xf numFmtId="0" fontId="22" fillId="9" borderId="6" xfId="1" applyFont="1" applyFill="1" applyBorder="1" applyAlignment="1">
      <alignment horizontal="left" vertical="top" wrapText="1"/>
    </xf>
    <xf numFmtId="0" fontId="23" fillId="9" borderId="10" xfId="1" applyFont="1" applyFill="1" applyBorder="1" applyAlignment="1">
      <alignment horizontal="center" vertical="top"/>
    </xf>
    <xf numFmtId="41" fontId="23" fillId="9" borderId="1" xfId="1" applyNumberFormat="1" applyFont="1" applyFill="1" applyBorder="1" applyAlignment="1">
      <alignment horizontal="left" vertical="top"/>
    </xf>
    <xf numFmtId="0" fontId="23" fillId="9" borderId="12" xfId="1" applyFont="1" applyFill="1" applyBorder="1" applyAlignment="1">
      <alignment horizontal="left" vertical="top" wrapText="1"/>
    </xf>
    <xf numFmtId="0" fontId="23" fillId="9" borderId="10" xfId="1" applyFont="1" applyFill="1" applyBorder="1" applyAlignment="1">
      <alignment horizontal="left" vertical="top" wrapText="1"/>
    </xf>
    <xf numFmtId="0" fontId="23" fillId="9" borderId="1" xfId="1" applyFont="1" applyFill="1" applyBorder="1" applyAlignment="1">
      <alignment horizontal="left" vertical="top" wrapText="1"/>
    </xf>
    <xf numFmtId="0" fontId="23" fillId="9" borderId="9" xfId="1" applyFont="1" applyFill="1" applyBorder="1" applyAlignment="1">
      <alignment horizontal="left" vertical="top" wrapText="1"/>
    </xf>
    <xf numFmtId="0" fontId="23" fillId="9" borderId="11" xfId="1" applyFont="1" applyFill="1" applyBorder="1" applyAlignment="1">
      <alignment horizontal="left" vertical="top" wrapText="1"/>
    </xf>
    <xf numFmtId="0" fontId="23" fillId="9" borderId="3" xfId="1" applyFont="1" applyFill="1" applyBorder="1" applyAlignment="1">
      <alignment horizontal="left" vertical="top" wrapText="1"/>
    </xf>
    <xf numFmtId="0" fontId="23" fillId="9" borderId="4" xfId="1" applyFont="1" applyFill="1" applyBorder="1" applyAlignment="1">
      <alignment horizontal="left" vertical="top" wrapText="1"/>
    </xf>
    <xf numFmtId="0" fontId="26" fillId="9" borderId="0" xfId="1" applyFont="1" applyFill="1" applyAlignment="1">
      <alignment horizontal="center" vertical="top"/>
    </xf>
    <xf numFmtId="0" fontId="23" fillId="9" borderId="10" xfId="1" applyFont="1" applyFill="1" applyBorder="1" applyAlignment="1">
      <alignment horizontal="center" vertical="center" wrapText="1"/>
    </xf>
    <xf numFmtId="41" fontId="38" fillId="0" borderId="0" xfId="0" applyNumberFormat="1" applyFont="1" applyAlignment="1">
      <alignment horizontal="left"/>
    </xf>
    <xf numFmtId="41" fontId="39" fillId="0" borderId="0" xfId="0" applyNumberFormat="1" applyFont="1" applyAlignment="1">
      <alignment horizontal="left"/>
    </xf>
    <xf numFmtId="41" fontId="38" fillId="0" borderId="0" xfId="0" applyNumberFormat="1" applyFont="1" applyAlignment="1">
      <alignment horizontal="center" vertical="center" wrapText="1"/>
    </xf>
    <xf numFmtId="41" fontId="38" fillId="0" borderId="0" xfId="0" applyNumberFormat="1" applyFont="1" applyAlignment="1">
      <alignment horizontal="center" vertical="center"/>
    </xf>
    <xf numFmtId="41" fontId="38" fillId="0" borderId="7" xfId="0" applyNumberFormat="1" applyFont="1" applyBorder="1" applyAlignment="1">
      <alignment horizontal="center" vertical="top"/>
    </xf>
    <xf numFmtId="41" fontId="38" fillId="0" borderId="15" xfId="0" applyNumberFormat="1" applyFont="1" applyBorder="1" applyAlignment="1">
      <alignment horizontal="center" vertical="top"/>
    </xf>
    <xf numFmtId="41" fontId="38" fillId="13" borderId="12" xfId="0" applyNumberFormat="1" applyFont="1" applyFill="1" applyBorder="1" applyAlignment="1">
      <alignment horizontal="center"/>
    </xf>
    <xf numFmtId="41" fontId="38" fillId="13" borderId="6" xfId="0" applyNumberFormat="1" applyFont="1" applyFill="1" applyBorder="1" applyAlignment="1">
      <alignment horizontal="center"/>
    </xf>
    <xf numFmtId="41" fontId="17" fillId="9" borderId="1" xfId="1" applyNumberFormat="1" applyFont="1" applyFill="1" applyBorder="1" applyAlignment="1">
      <alignment horizontal="right" vertical="top"/>
    </xf>
    <xf numFmtId="0" fontId="38" fillId="0" borderId="0" xfId="0" applyFont="1" applyAlignment="1">
      <alignment horizontal="center" wrapText="1"/>
    </xf>
    <xf numFmtId="0" fontId="41" fillId="0" borderId="0" xfId="0" applyFont="1" applyAlignment="1">
      <alignment horizontal="right"/>
    </xf>
  </cellXfs>
  <cellStyles count="38">
    <cellStyle name="Comma" xfId="37" builtinId="3"/>
    <cellStyle name="Comma 2" xfId="5"/>
    <cellStyle name="Comma 2 2" xfId="6"/>
    <cellStyle name="Comma 2 3" xfId="7"/>
    <cellStyle name="Comma 3" xfId="8"/>
    <cellStyle name="Comma 3 2" xfId="9"/>
    <cellStyle name="Comma 3 3" xfId="10"/>
    <cellStyle name="Comma 3 3 2" xfId="11"/>
    <cellStyle name="Comma 4" xfId="12"/>
    <cellStyle name="Comma 5" xfId="13"/>
    <cellStyle name="Comma 6" xfId="14"/>
    <cellStyle name="Excel Built-in Normal" xfId="15"/>
    <cellStyle name="Normal" xfId="0" builtinId="0"/>
    <cellStyle name="Normal 2" xfId="16"/>
    <cellStyle name="Normal 3" xfId="17"/>
    <cellStyle name="Normal 3 2" xfId="18"/>
    <cellStyle name="Normal 3 3" xfId="19"/>
    <cellStyle name="Normal 4" xfId="20"/>
    <cellStyle name="Normal 4 2" xfId="21"/>
    <cellStyle name="Normal 4 2 2" xfId="22"/>
    <cellStyle name="Normal 5" xfId="23"/>
    <cellStyle name="เครื่องหมายจุลภาค 2" xfId="24"/>
    <cellStyle name="เครื่องหมายจุลภาค 3" xfId="25"/>
    <cellStyle name="เครื่องหมายจุลภาค 4" xfId="26"/>
    <cellStyle name="เครื่องหมายจุลภาค 4 2" xfId="4"/>
    <cellStyle name="เครื่องหมายจุลภาค 5" xfId="3"/>
    <cellStyle name="เครื่องหมายจุลภาค 5 2" xfId="27"/>
    <cellStyle name="เครื่องหมายจุลภาค 6" xfId="28"/>
    <cellStyle name="ปกติ 2" xfId="29"/>
    <cellStyle name="ปกติ 3" xfId="30"/>
    <cellStyle name="ปกติ 4" xfId="31"/>
    <cellStyle name="ปกติ 5" xfId="32"/>
    <cellStyle name="ปกติ 5 2" xfId="33"/>
    <cellStyle name="ปกติ 6" xfId="34"/>
    <cellStyle name="ปกติ 6 2" xfId="2"/>
    <cellStyle name="ปกติ 7" xfId="1"/>
    <cellStyle name="ปกติ 8" xfId="35"/>
    <cellStyle name="ปกติ 9" xfId="36"/>
  </cellStyles>
  <dxfs count="0"/>
  <tableStyles count="0" defaultTableStyle="TableStyleMedium9" defaultPivotStyle="PivotStyleLight16"/>
  <colors>
    <mruColors>
      <color rgb="FF00FF00"/>
      <color rgb="FFFF33CC"/>
      <color rgb="FF0000FF"/>
      <color rgb="FF6600FF"/>
      <color rgb="FF5826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1</xdr:row>
      <xdr:rowOff>76200</xdr:rowOff>
    </xdr:from>
    <xdr:to>
      <xdr:col>14</xdr:col>
      <xdr:colOff>1266825</xdr:colOff>
      <xdr:row>2</xdr:row>
      <xdr:rowOff>238125</xdr:rowOff>
    </xdr:to>
    <xdr:sp macro="" textlink="">
      <xdr:nvSpPr>
        <xdr:cNvPr id="2" name="TextBox 1"/>
        <xdr:cNvSpPr txBox="1"/>
      </xdr:nvSpPr>
      <xdr:spPr>
        <a:xfrm>
          <a:off x="8467725" y="342900"/>
          <a:ext cx="15049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>
              <a:solidFill>
                <a:schemeClr val="bg1"/>
              </a:solidFill>
              <a:latin typeface="TH SarabunPSK" pitchFamily="34" charset="-34"/>
              <a:cs typeface="TH SarabunPSK" pitchFamily="34" charset="-34"/>
            </a:rPr>
            <a:t>เอกสารหมายเลข</a:t>
          </a:r>
          <a:r>
            <a:rPr lang="th-TH" sz="1800" b="0" baseline="0">
              <a:solidFill>
                <a:schemeClr val="bg1"/>
              </a:solidFill>
              <a:latin typeface="TH SarabunPSK" pitchFamily="34" charset="-34"/>
              <a:cs typeface="TH SarabunPSK" pitchFamily="34" charset="-34"/>
            </a:rPr>
            <a:t> 5</a:t>
          </a:r>
          <a:endParaRPr lang="th-TH" sz="1800" b="0">
            <a:solidFill>
              <a:schemeClr val="bg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P40"/>
  <sheetViews>
    <sheetView view="pageBreakPreview" topLeftCell="A31" zoomScale="85" zoomScaleNormal="90" zoomScaleSheetLayoutView="85" workbookViewId="0">
      <selection activeCell="G35" sqref="G35"/>
    </sheetView>
  </sheetViews>
  <sheetFormatPr defaultColWidth="8" defaultRowHeight="21" x14ac:dyDescent="0.2"/>
  <cols>
    <col min="1" max="1" width="3.125" style="598" customWidth="1"/>
    <col min="2" max="2" width="2.75" style="566" customWidth="1"/>
    <col min="3" max="3" width="29.75" style="566" customWidth="1"/>
    <col min="4" max="4" width="13.5" style="566" customWidth="1"/>
    <col min="5" max="5" width="14.875" style="566" customWidth="1"/>
    <col min="6" max="6" width="13.875" style="566" customWidth="1"/>
    <col min="7" max="7" width="8.625" style="566" customWidth="1"/>
    <col min="8" max="8" width="10.375" style="566" customWidth="1"/>
    <col min="9" max="9" width="9" style="566" customWidth="1"/>
    <col min="10" max="10" width="12.875" style="566" customWidth="1"/>
    <col min="11" max="11" width="10.375" style="566" customWidth="1"/>
    <col min="12" max="12" width="13.125" style="566" customWidth="1"/>
    <col min="13" max="13" width="13.5" style="566" customWidth="1"/>
    <col min="14" max="14" width="7.5" style="566" customWidth="1"/>
    <col min="15" max="15" width="11.375" style="566" customWidth="1"/>
    <col min="16" max="16" width="10.25" style="599" customWidth="1"/>
    <col min="17" max="16384" width="8" style="566"/>
  </cols>
  <sheetData>
    <row r="1" spans="1:16" s="558" customFormat="1" x14ac:dyDescent="0.2">
      <c r="A1" s="615" t="s">
        <v>175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</row>
    <row r="2" spans="1:16" s="558" customFormat="1" ht="21" customHeight="1" x14ac:dyDescent="0.2">
      <c r="A2" s="627" t="s">
        <v>174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627"/>
      <c r="N2" s="627"/>
      <c r="O2" s="627"/>
      <c r="P2" s="627"/>
    </row>
    <row r="3" spans="1:16" s="558" customFormat="1" x14ac:dyDescent="0.2">
      <c r="A3" s="627" t="s">
        <v>274</v>
      </c>
      <c r="B3" s="627"/>
      <c r="C3" s="627"/>
      <c r="D3" s="627"/>
      <c r="E3" s="627"/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</row>
    <row r="4" spans="1:16" s="558" customFormat="1" x14ac:dyDescent="0.2">
      <c r="A4" s="559"/>
      <c r="B4" s="559"/>
      <c r="C4" s="559"/>
      <c r="D4" s="559"/>
      <c r="E4" s="624" t="s">
        <v>602</v>
      </c>
      <c r="F4" s="624"/>
      <c r="G4" s="624"/>
      <c r="H4" s="624"/>
      <c r="I4" s="624"/>
      <c r="J4" s="624"/>
      <c r="K4" s="624"/>
      <c r="L4" s="624"/>
      <c r="M4" s="624"/>
      <c r="N4" s="624"/>
      <c r="O4" s="624"/>
      <c r="P4" s="624"/>
    </row>
    <row r="5" spans="1:16" s="560" customFormat="1" ht="23.25" customHeight="1" x14ac:dyDescent="0.2">
      <c r="A5" s="616" t="s">
        <v>89</v>
      </c>
      <c r="B5" s="618" t="s">
        <v>103</v>
      </c>
      <c r="C5" s="619"/>
      <c r="D5" s="626" t="s">
        <v>1</v>
      </c>
      <c r="E5" s="626"/>
      <c r="F5" s="626"/>
      <c r="G5" s="625" t="s">
        <v>186</v>
      </c>
      <c r="H5" s="625"/>
      <c r="I5" s="625"/>
      <c r="J5" s="625"/>
      <c r="K5" s="625"/>
      <c r="L5" s="625" t="s">
        <v>187</v>
      </c>
      <c r="M5" s="625"/>
      <c r="N5" s="625"/>
      <c r="O5" s="628" t="s">
        <v>477</v>
      </c>
      <c r="P5" s="622" t="s">
        <v>2</v>
      </c>
    </row>
    <row r="6" spans="1:16" s="560" customFormat="1" ht="61.5" customHeight="1" x14ac:dyDescent="0.2">
      <c r="A6" s="617"/>
      <c r="B6" s="620"/>
      <c r="C6" s="621"/>
      <c r="D6" s="557" t="s">
        <v>3</v>
      </c>
      <c r="E6" s="557" t="s">
        <v>5</v>
      </c>
      <c r="F6" s="557" t="s">
        <v>4</v>
      </c>
      <c r="G6" s="556" t="s">
        <v>182</v>
      </c>
      <c r="H6" s="556" t="s">
        <v>183</v>
      </c>
      <c r="I6" s="556" t="s">
        <v>256</v>
      </c>
      <c r="J6" s="556" t="s">
        <v>184</v>
      </c>
      <c r="K6" s="556" t="s">
        <v>185</v>
      </c>
      <c r="L6" s="556" t="s">
        <v>188</v>
      </c>
      <c r="M6" s="556" t="s">
        <v>189</v>
      </c>
      <c r="N6" s="556" t="s">
        <v>190</v>
      </c>
      <c r="O6" s="629"/>
      <c r="P6" s="623"/>
    </row>
    <row r="7" spans="1:16" s="562" customFormat="1" ht="30" customHeight="1" x14ac:dyDescent="0.2">
      <c r="A7" s="630" t="s">
        <v>83</v>
      </c>
      <c r="B7" s="631"/>
      <c r="C7" s="632"/>
      <c r="D7" s="373">
        <f>E7+F7</f>
        <v>31444233.399999999</v>
      </c>
      <c r="E7" s="373">
        <f>E8+E22+E31+E35+E37+E38+E39</f>
        <v>13724235</v>
      </c>
      <c r="F7" s="373">
        <f>F8+F22+F31+F35+F37+F38+F39</f>
        <v>17719998.399999999</v>
      </c>
      <c r="G7" s="373"/>
      <c r="H7" s="373"/>
      <c r="I7" s="373"/>
      <c r="J7" s="373">
        <f>J8+J22+J31+J35+J37+J38+J39</f>
        <v>5836380</v>
      </c>
      <c r="K7" s="373">
        <f>K8+K22+K31+K35+K37+K38+K39</f>
        <v>618.40000000037253</v>
      </c>
      <c r="L7" s="373">
        <f>L8+L22+L31+L35+L37+L38+L39</f>
        <v>5968000</v>
      </c>
      <c r="M7" s="373">
        <f>M8+M22+M31+M35+M37+M38+M39</f>
        <v>25325615</v>
      </c>
      <c r="N7" s="373">
        <f>L7*100/D7</f>
        <v>18.979632685209619</v>
      </c>
      <c r="O7" s="373">
        <f t="shared" ref="O7" si="0">O8+O22+O31</f>
        <v>150000</v>
      </c>
      <c r="P7" s="561"/>
    </row>
    <row r="8" spans="1:16" s="562" customFormat="1" ht="46.5" customHeight="1" x14ac:dyDescent="0.2">
      <c r="A8" s="633" t="s">
        <v>104</v>
      </c>
      <c r="B8" s="634"/>
      <c r="C8" s="635"/>
      <c r="D8" s="563">
        <f>E8+F8</f>
        <v>0</v>
      </c>
      <c r="E8" s="563">
        <f>E9+E15</f>
        <v>0</v>
      </c>
      <c r="F8" s="563">
        <f>F9+F15</f>
        <v>0</v>
      </c>
      <c r="G8" s="563"/>
      <c r="H8" s="563"/>
      <c r="I8" s="563"/>
      <c r="J8" s="563">
        <f t="shared" ref="J8:O8" si="1">J9+J15</f>
        <v>0</v>
      </c>
      <c r="K8" s="563">
        <f t="shared" si="1"/>
        <v>0</v>
      </c>
      <c r="L8" s="563">
        <f t="shared" si="1"/>
        <v>0</v>
      </c>
      <c r="M8" s="563">
        <f t="shared" si="1"/>
        <v>0</v>
      </c>
      <c r="N8" s="563">
        <v>0</v>
      </c>
      <c r="O8" s="563">
        <f t="shared" si="1"/>
        <v>0</v>
      </c>
      <c r="P8" s="561"/>
    </row>
    <row r="9" spans="1:16" ht="47.25" hidden="1" x14ac:dyDescent="0.2">
      <c r="A9" s="564">
        <v>1</v>
      </c>
      <c r="B9" s="608" t="s">
        <v>249</v>
      </c>
      <c r="C9" s="604"/>
      <c r="D9" s="98">
        <f>E9+F9</f>
        <v>0</v>
      </c>
      <c r="E9" s="98">
        <f>E10</f>
        <v>0</v>
      </c>
      <c r="F9" s="99">
        <f>F10</f>
        <v>0</v>
      </c>
      <c r="G9" s="259"/>
      <c r="H9" s="99"/>
      <c r="I9" s="99"/>
      <c r="J9" s="99">
        <f t="shared" ref="J9:O9" si="2">J10</f>
        <v>0</v>
      </c>
      <c r="K9" s="99">
        <f t="shared" si="2"/>
        <v>0</v>
      </c>
      <c r="L9" s="99">
        <f t="shared" si="2"/>
        <v>0</v>
      </c>
      <c r="M9" s="99">
        <f t="shared" si="2"/>
        <v>0</v>
      </c>
      <c r="N9" s="99" t="e">
        <f>L9*100/D9</f>
        <v>#DIV/0!</v>
      </c>
      <c r="O9" s="99">
        <f t="shared" si="2"/>
        <v>0</v>
      </c>
      <c r="P9" s="565" t="s">
        <v>105</v>
      </c>
    </row>
    <row r="10" spans="1:16" ht="75" hidden="1" x14ac:dyDescent="0.2">
      <c r="A10" s="97"/>
      <c r="B10" s="638" t="s">
        <v>255</v>
      </c>
      <c r="C10" s="638"/>
      <c r="D10" s="101">
        <f>E10+F10</f>
        <v>0</v>
      </c>
      <c r="E10" s="98">
        <f>E11</f>
        <v>0</v>
      </c>
      <c r="F10" s="99">
        <f>F12</f>
        <v>0</v>
      </c>
      <c r="G10" s="259" t="s">
        <v>469</v>
      </c>
      <c r="H10" s="99"/>
      <c r="I10" s="99"/>
      <c r="J10" s="99">
        <f t="shared" ref="J10:L10" si="3">J12</f>
        <v>0</v>
      </c>
      <c r="K10" s="99">
        <f t="shared" si="3"/>
        <v>0</v>
      </c>
      <c r="L10" s="99">
        <f t="shared" si="3"/>
        <v>0</v>
      </c>
      <c r="M10" s="99">
        <v>0</v>
      </c>
      <c r="N10" s="99" t="e">
        <f>L10*100/D10</f>
        <v>#DIV/0!</v>
      </c>
      <c r="O10" s="99"/>
      <c r="P10" s="100"/>
    </row>
    <row r="11" spans="1:16" ht="21" hidden="1" customHeight="1" x14ac:dyDescent="0.2">
      <c r="A11" s="567"/>
      <c r="B11" s="636" t="s">
        <v>5</v>
      </c>
      <c r="C11" s="637"/>
      <c r="D11" s="568"/>
      <c r="E11" s="568">
        <f>164800-164800</f>
        <v>0</v>
      </c>
      <c r="F11" s="309"/>
      <c r="G11" s="309"/>
      <c r="H11" s="309"/>
      <c r="I11" s="309"/>
      <c r="J11" s="309"/>
      <c r="K11" s="309"/>
      <c r="L11" s="309"/>
      <c r="M11" s="309">
        <f>E11-L11</f>
        <v>0</v>
      </c>
      <c r="N11" s="309" t="e">
        <f>L11*100/E11</f>
        <v>#DIV/0!</v>
      </c>
      <c r="O11" s="309"/>
      <c r="P11" s="100"/>
    </row>
    <row r="12" spans="1:16" ht="28.5" hidden="1" customHeight="1" x14ac:dyDescent="0.2">
      <c r="A12" s="567"/>
      <c r="B12" s="606" t="s">
        <v>4</v>
      </c>
      <c r="C12" s="607"/>
      <c r="D12" s="568"/>
      <c r="E12" s="568"/>
      <c r="F12" s="309">
        <f>F13+F14</f>
        <v>0</v>
      </c>
      <c r="G12" s="309"/>
      <c r="H12" s="309"/>
      <c r="I12" s="309"/>
      <c r="J12" s="309">
        <f>J13+J14</f>
        <v>0</v>
      </c>
      <c r="K12" s="309">
        <f t="shared" ref="K12:M12" si="4">K13+K14</f>
        <v>0</v>
      </c>
      <c r="L12" s="309">
        <f t="shared" si="4"/>
        <v>0</v>
      </c>
      <c r="M12" s="309">
        <f t="shared" si="4"/>
        <v>0</v>
      </c>
      <c r="N12" s="569" t="e">
        <f>L12*100/J12</f>
        <v>#DIV/0!</v>
      </c>
      <c r="O12" s="569"/>
      <c r="P12" s="100"/>
    </row>
    <row r="13" spans="1:16" ht="42" hidden="1" x14ac:dyDescent="0.2">
      <c r="A13" s="567"/>
      <c r="B13" s="570"/>
      <c r="C13" s="571" t="s">
        <v>250</v>
      </c>
      <c r="D13" s="568"/>
      <c r="E13" s="568"/>
      <c r="F13" s="309">
        <f>3792600-3792600</f>
        <v>0</v>
      </c>
      <c r="G13" s="309"/>
      <c r="H13" s="309"/>
      <c r="I13" s="309"/>
      <c r="J13" s="309"/>
      <c r="K13" s="309"/>
      <c r="L13" s="309"/>
      <c r="M13" s="309">
        <f>F13-L13</f>
        <v>0</v>
      </c>
      <c r="N13" s="569" t="e">
        <f t="shared" ref="N13:N14" si="5">L13*100/J13</f>
        <v>#DIV/0!</v>
      </c>
      <c r="O13" s="569"/>
      <c r="P13" s="100"/>
    </row>
    <row r="14" spans="1:16" ht="42" hidden="1" x14ac:dyDescent="0.2">
      <c r="A14" s="567"/>
      <c r="B14" s="570"/>
      <c r="C14" s="571" t="s">
        <v>251</v>
      </c>
      <c r="D14" s="568"/>
      <c r="E14" s="568"/>
      <c r="F14" s="309">
        <f>2116800-2116800</f>
        <v>0</v>
      </c>
      <c r="G14" s="309"/>
      <c r="H14" s="309"/>
      <c r="I14" s="309"/>
      <c r="J14" s="309"/>
      <c r="K14" s="309"/>
      <c r="L14" s="309"/>
      <c r="M14" s="309">
        <f>F14-L14</f>
        <v>0</v>
      </c>
      <c r="N14" s="569" t="e">
        <f t="shared" si="5"/>
        <v>#DIV/0!</v>
      </c>
      <c r="O14" s="569"/>
      <c r="P14" s="100"/>
    </row>
    <row r="15" spans="1:16" ht="77.25" hidden="1" customHeight="1" x14ac:dyDescent="0.2">
      <c r="A15" s="564">
        <v>2</v>
      </c>
      <c r="B15" s="608" t="s">
        <v>106</v>
      </c>
      <c r="C15" s="604"/>
      <c r="D15" s="101">
        <f>E15+F15</f>
        <v>0</v>
      </c>
      <c r="E15" s="101">
        <f>E16</f>
        <v>0</v>
      </c>
      <c r="F15" s="101">
        <f>F16</f>
        <v>0</v>
      </c>
      <c r="G15" s="259" t="s">
        <v>383</v>
      </c>
      <c r="H15" s="101"/>
      <c r="I15" s="101"/>
      <c r="J15" s="101">
        <f t="shared" ref="J15:L15" si="6">J16</f>
        <v>0</v>
      </c>
      <c r="K15" s="101">
        <f t="shared" si="6"/>
        <v>0</v>
      </c>
      <c r="L15" s="101">
        <f t="shared" si="6"/>
        <v>0</v>
      </c>
      <c r="M15" s="101">
        <v>0</v>
      </c>
      <c r="N15" s="101" t="e">
        <f>L15*100/D15</f>
        <v>#DIV/0!</v>
      </c>
      <c r="O15" s="101">
        <v>0</v>
      </c>
      <c r="P15" s="565" t="s">
        <v>105</v>
      </c>
    </row>
    <row r="16" spans="1:16" s="572" customFormat="1" ht="75" hidden="1" x14ac:dyDescent="0.2">
      <c r="A16" s="567"/>
      <c r="B16" s="603" t="s">
        <v>167</v>
      </c>
      <c r="C16" s="604"/>
      <c r="D16" s="101">
        <f>E16+F16</f>
        <v>0</v>
      </c>
      <c r="E16" s="101">
        <f>E17</f>
        <v>0</v>
      </c>
      <c r="F16" s="101">
        <f>F18</f>
        <v>0</v>
      </c>
      <c r="G16" s="259" t="s">
        <v>383</v>
      </c>
      <c r="H16" s="101"/>
      <c r="I16" s="101"/>
      <c r="J16" s="101">
        <f t="shared" ref="J16:L16" si="7">J18</f>
        <v>0</v>
      </c>
      <c r="K16" s="101">
        <f t="shared" si="7"/>
        <v>0</v>
      </c>
      <c r="L16" s="101">
        <f t="shared" si="7"/>
        <v>0</v>
      </c>
      <c r="M16" s="101">
        <f>D16-L16</f>
        <v>0</v>
      </c>
      <c r="N16" s="101" t="e">
        <f>L16*100/D16</f>
        <v>#DIV/0!</v>
      </c>
      <c r="O16" s="101"/>
      <c r="P16" s="565"/>
    </row>
    <row r="17" spans="1:16" s="572" customFormat="1" hidden="1" x14ac:dyDescent="0.2">
      <c r="A17" s="567"/>
      <c r="B17" s="606" t="s">
        <v>5</v>
      </c>
      <c r="C17" s="607"/>
      <c r="D17" s="568"/>
      <c r="E17" s="568">
        <f>59900-59900</f>
        <v>0</v>
      </c>
      <c r="F17" s="568"/>
      <c r="G17" s="568"/>
      <c r="H17" s="568"/>
      <c r="I17" s="568"/>
      <c r="J17" s="568"/>
      <c r="K17" s="568"/>
      <c r="L17" s="568"/>
      <c r="M17" s="568">
        <f>E17-L17</f>
        <v>0</v>
      </c>
      <c r="N17" s="568" t="e">
        <f>L17*100/E17</f>
        <v>#DIV/0!</v>
      </c>
      <c r="O17" s="568"/>
      <c r="P17" s="100"/>
    </row>
    <row r="18" spans="1:16" s="572" customFormat="1" hidden="1" x14ac:dyDescent="0.2">
      <c r="A18" s="573"/>
      <c r="B18" s="606" t="s">
        <v>4</v>
      </c>
      <c r="C18" s="607"/>
      <c r="D18" s="568"/>
      <c r="E18" s="568"/>
      <c r="F18" s="568">
        <f>F19+F20+F21</f>
        <v>0</v>
      </c>
      <c r="G18" s="568"/>
      <c r="H18" s="568"/>
      <c r="I18" s="568"/>
      <c r="J18" s="568">
        <f t="shared" ref="J18:M18" si="8">J19+J20+J21</f>
        <v>0</v>
      </c>
      <c r="K18" s="568">
        <f t="shared" si="8"/>
        <v>0</v>
      </c>
      <c r="L18" s="568">
        <f t="shared" si="8"/>
        <v>0</v>
      </c>
      <c r="M18" s="568">
        <f t="shared" si="8"/>
        <v>0</v>
      </c>
      <c r="N18" s="574" t="e">
        <f>L18*100/J18</f>
        <v>#DIV/0!</v>
      </c>
      <c r="O18" s="574"/>
      <c r="P18" s="100"/>
    </row>
    <row r="19" spans="1:16" s="572" customFormat="1" hidden="1" x14ac:dyDescent="0.2">
      <c r="A19" s="567"/>
      <c r="B19" s="575"/>
      <c r="C19" s="576" t="s">
        <v>252</v>
      </c>
      <c r="D19" s="568"/>
      <c r="E19" s="568"/>
      <c r="F19" s="568">
        <f>105000-105000</f>
        <v>0</v>
      </c>
      <c r="G19" s="568"/>
      <c r="H19" s="568"/>
      <c r="I19" s="568"/>
      <c r="J19" s="568"/>
      <c r="K19" s="568"/>
      <c r="L19" s="568"/>
      <c r="M19" s="568">
        <f>F19-L19</f>
        <v>0</v>
      </c>
      <c r="N19" s="574" t="e">
        <f>L19*100/J19</f>
        <v>#DIV/0!</v>
      </c>
      <c r="O19" s="574"/>
      <c r="P19" s="100"/>
    </row>
    <row r="20" spans="1:16" s="572" customFormat="1" hidden="1" x14ac:dyDescent="0.2">
      <c r="A20" s="567"/>
      <c r="B20" s="575"/>
      <c r="C20" s="576" t="s">
        <v>253</v>
      </c>
      <c r="D20" s="568"/>
      <c r="E20" s="568"/>
      <c r="F20" s="568">
        <f>145000-145000</f>
        <v>0</v>
      </c>
      <c r="G20" s="568"/>
      <c r="H20" s="568"/>
      <c r="I20" s="568"/>
      <c r="J20" s="568"/>
      <c r="K20" s="568"/>
      <c r="L20" s="568"/>
      <c r="M20" s="568">
        <f t="shared" ref="M20:M21" si="9">F20-L20</f>
        <v>0</v>
      </c>
      <c r="N20" s="574" t="e">
        <f t="shared" ref="N20:N21" si="10">L20*100/J20</f>
        <v>#DIV/0!</v>
      </c>
      <c r="O20" s="574"/>
      <c r="P20" s="100"/>
    </row>
    <row r="21" spans="1:16" s="572" customFormat="1" hidden="1" x14ac:dyDescent="0.2">
      <c r="A21" s="567"/>
      <c r="B21" s="575"/>
      <c r="C21" s="576" t="s">
        <v>254</v>
      </c>
      <c r="D21" s="568"/>
      <c r="E21" s="568"/>
      <c r="F21" s="568">
        <f>673600-673600</f>
        <v>0</v>
      </c>
      <c r="G21" s="568"/>
      <c r="H21" s="568"/>
      <c r="I21" s="568"/>
      <c r="J21" s="568"/>
      <c r="K21" s="568"/>
      <c r="L21" s="568"/>
      <c r="M21" s="568">
        <f t="shared" si="9"/>
        <v>0</v>
      </c>
      <c r="N21" s="574" t="e">
        <f t="shared" si="10"/>
        <v>#DIV/0!</v>
      </c>
      <c r="O21" s="574"/>
      <c r="P21" s="100"/>
    </row>
    <row r="22" spans="1:16" ht="75.75" customHeight="1" x14ac:dyDescent="0.2">
      <c r="A22" s="611" t="s">
        <v>592</v>
      </c>
      <c r="B22" s="612"/>
      <c r="C22" s="612"/>
      <c r="D22" s="107">
        <f t="shared" ref="D22:D32" si="11">E22+F22</f>
        <v>19336998.399999999</v>
      </c>
      <c r="E22" s="101">
        <f>E23+E25+E27+E29</f>
        <v>13500000</v>
      </c>
      <c r="F22" s="101">
        <f>F23+F25+F27+F29</f>
        <v>5836998.4000000004</v>
      </c>
      <c r="G22" s="101"/>
      <c r="H22" s="101"/>
      <c r="I22" s="101"/>
      <c r="J22" s="101">
        <f t="shared" ref="J22:O22" si="12">J23+J25+J27+J29</f>
        <v>5836380</v>
      </c>
      <c r="K22" s="107">
        <f t="shared" si="12"/>
        <v>618.40000000037253</v>
      </c>
      <c r="L22" s="101">
        <f t="shared" si="12"/>
        <v>5968000</v>
      </c>
      <c r="M22" s="101">
        <f t="shared" si="12"/>
        <v>13218380</v>
      </c>
      <c r="N22" s="107">
        <f>L22*100/D22</f>
        <v>30.863114722086344</v>
      </c>
      <c r="O22" s="107">
        <f t="shared" si="12"/>
        <v>150000</v>
      </c>
      <c r="P22" s="565"/>
    </row>
    <row r="23" spans="1:16" ht="51.75" customHeight="1" x14ac:dyDescent="0.2">
      <c r="A23" s="577">
        <v>3</v>
      </c>
      <c r="B23" s="608" t="s">
        <v>593</v>
      </c>
      <c r="C23" s="604"/>
      <c r="D23" s="578">
        <f t="shared" si="11"/>
        <v>10000000</v>
      </c>
      <c r="E23" s="578">
        <f>E24</f>
        <v>10000000</v>
      </c>
      <c r="F23" s="578">
        <f>F24</f>
        <v>0</v>
      </c>
      <c r="G23" s="259"/>
      <c r="H23" s="578"/>
      <c r="I23" s="578"/>
      <c r="J23" s="578">
        <f t="shared" ref="J23:O23" si="13">J24</f>
        <v>0</v>
      </c>
      <c r="K23" s="578">
        <f t="shared" si="13"/>
        <v>0</v>
      </c>
      <c r="L23" s="578">
        <f t="shared" si="13"/>
        <v>4850000</v>
      </c>
      <c r="M23" s="578">
        <f t="shared" si="13"/>
        <v>5000000</v>
      </c>
      <c r="N23" s="579">
        <f>L23*100/E23</f>
        <v>48.5</v>
      </c>
      <c r="O23" s="579">
        <f t="shared" si="13"/>
        <v>150000</v>
      </c>
      <c r="P23" s="565" t="s">
        <v>22</v>
      </c>
    </row>
    <row r="24" spans="1:16" ht="44.25" customHeight="1" x14ac:dyDescent="0.2">
      <c r="A24" s="97"/>
      <c r="B24" s="603" t="s">
        <v>168</v>
      </c>
      <c r="C24" s="604"/>
      <c r="D24" s="101">
        <f t="shared" si="11"/>
        <v>10000000</v>
      </c>
      <c r="E24" s="580">
        <v>10000000</v>
      </c>
      <c r="F24" s="581">
        <v>0</v>
      </c>
      <c r="G24" s="259" t="s">
        <v>355</v>
      </c>
      <c r="H24" s="582"/>
      <c r="I24" s="582"/>
      <c r="J24" s="582"/>
      <c r="K24" s="582"/>
      <c r="L24" s="582">
        <v>4850000</v>
      </c>
      <c r="M24" s="582">
        <f>E24-L24-O24</f>
        <v>5000000</v>
      </c>
      <c r="N24" s="424">
        <f>L24*100/E24</f>
        <v>48.5</v>
      </c>
      <c r="O24" s="424">
        <v>150000</v>
      </c>
      <c r="P24" s="565"/>
    </row>
    <row r="25" spans="1:16" ht="47.25" x14ac:dyDescent="0.2">
      <c r="A25" s="583">
        <v>4</v>
      </c>
      <c r="B25" s="613" t="s">
        <v>107</v>
      </c>
      <c r="C25" s="614"/>
      <c r="D25" s="584">
        <f t="shared" si="11"/>
        <v>5836998.4000000004</v>
      </c>
      <c r="E25" s="585">
        <f>E26</f>
        <v>0</v>
      </c>
      <c r="F25" s="584">
        <f>F26</f>
        <v>5836998.4000000004</v>
      </c>
      <c r="G25" s="259"/>
      <c r="H25" s="585"/>
      <c r="I25" s="585"/>
      <c r="J25" s="584">
        <f t="shared" ref="J25:O25" si="14">J26</f>
        <v>5836380</v>
      </c>
      <c r="K25" s="584">
        <f t="shared" si="14"/>
        <v>618.40000000037253</v>
      </c>
      <c r="L25" s="585">
        <f t="shared" si="14"/>
        <v>0</v>
      </c>
      <c r="M25" s="584">
        <f t="shared" si="14"/>
        <v>5836380</v>
      </c>
      <c r="N25" s="586">
        <f>L25*100/J25</f>
        <v>0</v>
      </c>
      <c r="O25" s="585">
        <f t="shared" si="14"/>
        <v>0</v>
      </c>
      <c r="P25" s="565" t="s">
        <v>31</v>
      </c>
    </row>
    <row r="26" spans="1:16" ht="45.75" customHeight="1" x14ac:dyDescent="0.2">
      <c r="A26" s="97"/>
      <c r="B26" s="603" t="s">
        <v>493</v>
      </c>
      <c r="C26" s="604"/>
      <c r="D26" s="90">
        <f t="shared" si="11"/>
        <v>5836998.4000000004</v>
      </c>
      <c r="E26" s="580">
        <v>0</v>
      </c>
      <c r="F26" s="587">
        <f>7919998.4-2083000</f>
        <v>5836998.4000000004</v>
      </c>
      <c r="G26" s="259" t="s">
        <v>368</v>
      </c>
      <c r="H26" s="588" t="s">
        <v>466</v>
      </c>
      <c r="I26" s="582"/>
      <c r="J26" s="424">
        <v>5836380</v>
      </c>
      <c r="K26" s="424">
        <f>F26-J26</f>
        <v>618.40000000037253</v>
      </c>
      <c r="L26" s="582"/>
      <c r="M26" s="424">
        <f>J26-L26</f>
        <v>5836380</v>
      </c>
      <c r="N26" s="589">
        <f>L26*100/J26</f>
        <v>0</v>
      </c>
      <c r="O26" s="589"/>
      <c r="P26" s="565"/>
    </row>
    <row r="27" spans="1:16" ht="51" customHeight="1" x14ac:dyDescent="0.2">
      <c r="A27" s="590">
        <v>5</v>
      </c>
      <c r="B27" s="609" t="s">
        <v>108</v>
      </c>
      <c r="C27" s="610"/>
      <c r="D27" s="578">
        <f t="shared" si="11"/>
        <v>2000000</v>
      </c>
      <c r="E27" s="578">
        <f>E28</f>
        <v>2000000</v>
      </c>
      <c r="F27" s="578">
        <f>F28</f>
        <v>0</v>
      </c>
      <c r="G27" s="591"/>
      <c r="H27" s="578"/>
      <c r="I27" s="578"/>
      <c r="J27" s="578">
        <f t="shared" ref="J27:O27" si="15">J28</f>
        <v>0</v>
      </c>
      <c r="K27" s="578">
        <f t="shared" si="15"/>
        <v>0</v>
      </c>
      <c r="L27" s="578">
        <f t="shared" si="15"/>
        <v>0</v>
      </c>
      <c r="M27" s="578">
        <f t="shared" si="15"/>
        <v>2000000</v>
      </c>
      <c r="N27" s="578">
        <f>L27*100/E27</f>
        <v>0</v>
      </c>
      <c r="O27" s="578">
        <f t="shared" si="15"/>
        <v>0</v>
      </c>
      <c r="P27" s="565" t="s">
        <v>22</v>
      </c>
    </row>
    <row r="28" spans="1:16" ht="46.5" customHeight="1" x14ac:dyDescent="0.2">
      <c r="A28" s="592"/>
      <c r="B28" s="603" t="s">
        <v>169</v>
      </c>
      <c r="C28" s="604"/>
      <c r="D28" s="101">
        <f t="shared" si="11"/>
        <v>2000000</v>
      </c>
      <c r="E28" s="580">
        <v>2000000</v>
      </c>
      <c r="F28" s="593">
        <v>0</v>
      </c>
      <c r="G28" s="553" t="s">
        <v>355</v>
      </c>
      <c r="H28" s="582"/>
      <c r="I28" s="582"/>
      <c r="J28" s="582"/>
      <c r="K28" s="582"/>
      <c r="L28" s="582"/>
      <c r="M28" s="582">
        <f>E28-L28</f>
        <v>2000000</v>
      </c>
      <c r="N28" s="582">
        <f>L28*100/E28</f>
        <v>0</v>
      </c>
      <c r="O28" s="582"/>
      <c r="P28" s="565"/>
    </row>
    <row r="29" spans="1:16" ht="74.25" customHeight="1" x14ac:dyDescent="0.2">
      <c r="A29" s="564">
        <v>6</v>
      </c>
      <c r="B29" s="603" t="s">
        <v>202</v>
      </c>
      <c r="C29" s="604"/>
      <c r="D29" s="101">
        <f t="shared" si="11"/>
        <v>1500000</v>
      </c>
      <c r="E29" s="101">
        <f>E30</f>
        <v>1500000</v>
      </c>
      <c r="F29" s="101">
        <f>F30</f>
        <v>0</v>
      </c>
      <c r="G29" s="259"/>
      <c r="H29" s="101"/>
      <c r="I29" s="101"/>
      <c r="J29" s="101">
        <f t="shared" ref="J29:O29" si="16">J30</f>
        <v>0</v>
      </c>
      <c r="K29" s="101">
        <f t="shared" si="16"/>
        <v>0</v>
      </c>
      <c r="L29" s="101">
        <f t="shared" si="16"/>
        <v>1118000</v>
      </c>
      <c r="M29" s="101">
        <f t="shared" si="16"/>
        <v>382000</v>
      </c>
      <c r="N29" s="107">
        <f>L29*100/E29</f>
        <v>74.533333333333331</v>
      </c>
      <c r="O29" s="101">
        <f t="shared" si="16"/>
        <v>0</v>
      </c>
      <c r="P29" s="565" t="s">
        <v>111</v>
      </c>
    </row>
    <row r="30" spans="1:16" ht="37.5" x14ac:dyDescent="0.2">
      <c r="A30" s="592"/>
      <c r="B30" s="603" t="s">
        <v>170</v>
      </c>
      <c r="C30" s="604"/>
      <c r="D30" s="101">
        <f t="shared" si="11"/>
        <v>1500000</v>
      </c>
      <c r="E30" s="580">
        <v>1500000</v>
      </c>
      <c r="F30" s="581">
        <v>0</v>
      </c>
      <c r="G30" s="259" t="s">
        <v>355</v>
      </c>
      <c r="H30" s="582"/>
      <c r="I30" s="582"/>
      <c r="J30" s="582"/>
      <c r="K30" s="582"/>
      <c r="L30" s="582">
        <f>509200+608800</f>
        <v>1118000</v>
      </c>
      <c r="M30" s="582">
        <f>E30-L30</f>
        <v>382000</v>
      </c>
      <c r="N30" s="424">
        <f>L30*100/E30</f>
        <v>74.533333333333331</v>
      </c>
      <c r="O30" s="582"/>
      <c r="P30" s="565"/>
    </row>
    <row r="31" spans="1:16" ht="46.5" customHeight="1" x14ac:dyDescent="0.2">
      <c r="A31" s="608" t="s">
        <v>109</v>
      </c>
      <c r="B31" s="603"/>
      <c r="C31" s="604"/>
      <c r="D31" s="98">
        <f t="shared" si="11"/>
        <v>0</v>
      </c>
      <c r="E31" s="98">
        <v>0</v>
      </c>
      <c r="F31" s="98">
        <f>F32</f>
        <v>0</v>
      </c>
      <c r="G31" s="98"/>
      <c r="H31" s="98"/>
      <c r="I31" s="98"/>
      <c r="J31" s="98">
        <f t="shared" ref="J31:O32" si="17">J32</f>
        <v>0</v>
      </c>
      <c r="K31" s="98">
        <f t="shared" si="17"/>
        <v>0</v>
      </c>
      <c r="L31" s="98">
        <f t="shared" si="17"/>
        <v>0</v>
      </c>
      <c r="M31" s="98">
        <f t="shared" si="17"/>
        <v>0</v>
      </c>
      <c r="N31" s="98">
        <v>0</v>
      </c>
      <c r="O31" s="98">
        <f t="shared" si="17"/>
        <v>0</v>
      </c>
      <c r="P31" s="565"/>
    </row>
    <row r="32" spans="1:16" ht="75" hidden="1" x14ac:dyDescent="0.2">
      <c r="A32" s="564">
        <v>7</v>
      </c>
      <c r="B32" s="603" t="s">
        <v>110</v>
      </c>
      <c r="C32" s="604"/>
      <c r="D32" s="101">
        <f t="shared" si="11"/>
        <v>0</v>
      </c>
      <c r="E32" s="101">
        <v>0</v>
      </c>
      <c r="F32" s="101">
        <f>F33</f>
        <v>0</v>
      </c>
      <c r="G32" s="259" t="s">
        <v>383</v>
      </c>
      <c r="H32" s="101"/>
      <c r="I32" s="101"/>
      <c r="J32" s="101">
        <f t="shared" si="17"/>
        <v>0</v>
      </c>
      <c r="K32" s="101">
        <f t="shared" si="17"/>
        <v>0</v>
      </c>
      <c r="L32" s="101">
        <f t="shared" si="17"/>
        <v>0</v>
      </c>
      <c r="M32" s="101">
        <v>0</v>
      </c>
      <c r="N32" s="101">
        <v>0</v>
      </c>
      <c r="O32" s="101"/>
      <c r="P32" s="565" t="s">
        <v>88</v>
      </c>
    </row>
    <row r="33" spans="1:16" ht="88.5" hidden="1" customHeight="1" x14ac:dyDescent="0.2">
      <c r="A33" s="594"/>
      <c r="B33" s="603" t="s">
        <v>257</v>
      </c>
      <c r="C33" s="604"/>
      <c r="D33" s="101">
        <f>F33</f>
        <v>0</v>
      </c>
      <c r="E33" s="101">
        <v>0</v>
      </c>
      <c r="F33" s="582">
        <f>2970000-2970000</f>
        <v>0</v>
      </c>
      <c r="G33" s="259"/>
      <c r="H33" s="582"/>
      <c r="I33" s="582"/>
      <c r="J33" s="582"/>
      <c r="K33" s="582"/>
      <c r="L33" s="582"/>
      <c r="M33" s="582">
        <f>F33-L33</f>
        <v>0</v>
      </c>
      <c r="N33" s="589" t="e">
        <f>L33*100/J33</f>
        <v>#DIV/0!</v>
      </c>
      <c r="O33" s="589"/>
      <c r="P33" s="565"/>
    </row>
    <row r="34" spans="1:16" s="595" customFormat="1" ht="24.75" customHeight="1" x14ac:dyDescent="0.2">
      <c r="A34" s="608" t="s">
        <v>356</v>
      </c>
      <c r="B34" s="603"/>
      <c r="C34" s="603"/>
      <c r="D34" s="603"/>
      <c r="E34" s="603"/>
      <c r="F34" s="603"/>
      <c r="G34" s="603"/>
      <c r="H34" s="603"/>
      <c r="I34" s="603"/>
      <c r="J34" s="603"/>
      <c r="K34" s="603"/>
      <c r="L34" s="603"/>
      <c r="M34" s="603"/>
      <c r="N34" s="603"/>
      <c r="O34" s="603"/>
      <c r="P34" s="603"/>
    </row>
    <row r="35" spans="1:16" ht="72" customHeight="1" x14ac:dyDescent="0.2">
      <c r="A35" s="594"/>
      <c r="B35" s="606" t="s">
        <v>571</v>
      </c>
      <c r="C35" s="607"/>
      <c r="D35" s="568">
        <f>E35+F35</f>
        <v>2083000</v>
      </c>
      <c r="E35" s="568">
        <v>0</v>
      </c>
      <c r="F35" s="309">
        <v>2083000</v>
      </c>
      <c r="G35" s="259" t="s">
        <v>599</v>
      </c>
      <c r="H35" s="309"/>
      <c r="I35" s="309"/>
      <c r="J35" s="309"/>
      <c r="K35" s="309"/>
      <c r="L35" s="309"/>
      <c r="M35" s="309">
        <f>F35</f>
        <v>2083000</v>
      </c>
      <c r="N35" s="569"/>
      <c r="O35" s="569"/>
      <c r="P35" s="100" t="s">
        <v>31</v>
      </c>
    </row>
    <row r="36" spans="1:16" ht="21" customHeight="1" x14ac:dyDescent="0.2">
      <c r="A36" s="608" t="s">
        <v>569</v>
      </c>
      <c r="B36" s="603"/>
      <c r="C36" s="603"/>
      <c r="D36" s="603"/>
      <c r="E36" s="603"/>
      <c r="F36" s="603"/>
      <c r="G36" s="603"/>
      <c r="H36" s="603"/>
      <c r="I36" s="603"/>
      <c r="J36" s="603"/>
      <c r="K36" s="603"/>
      <c r="L36" s="603"/>
      <c r="M36" s="603"/>
      <c r="N36" s="603"/>
      <c r="O36" s="603"/>
      <c r="P36" s="604"/>
    </row>
    <row r="37" spans="1:16" ht="64.5" customHeight="1" x14ac:dyDescent="0.2">
      <c r="A37" s="594"/>
      <c r="B37" s="606" t="s">
        <v>594</v>
      </c>
      <c r="C37" s="607"/>
      <c r="D37" s="568">
        <f>F37</f>
        <v>4000000</v>
      </c>
      <c r="E37" s="568">
        <v>0</v>
      </c>
      <c r="F37" s="309">
        <v>4000000</v>
      </c>
      <c r="G37" s="259" t="s">
        <v>598</v>
      </c>
      <c r="H37" s="309"/>
      <c r="I37" s="309"/>
      <c r="J37" s="309"/>
      <c r="K37" s="309"/>
      <c r="L37" s="309"/>
      <c r="M37" s="309">
        <f>F37</f>
        <v>4000000</v>
      </c>
      <c r="N37" s="596"/>
      <c r="O37" s="569"/>
      <c r="P37" s="100" t="s">
        <v>29</v>
      </c>
    </row>
    <row r="38" spans="1:16" ht="67.5" customHeight="1" x14ac:dyDescent="0.2">
      <c r="A38" s="594"/>
      <c r="B38" s="606" t="s">
        <v>570</v>
      </c>
      <c r="C38" s="607"/>
      <c r="D38" s="568">
        <f>F38</f>
        <v>5800000</v>
      </c>
      <c r="E38" s="568">
        <v>0</v>
      </c>
      <c r="F38" s="309">
        <v>5800000</v>
      </c>
      <c r="G38" s="259" t="s">
        <v>598</v>
      </c>
      <c r="H38" s="309"/>
      <c r="I38" s="309"/>
      <c r="J38" s="309"/>
      <c r="K38" s="309"/>
      <c r="L38" s="309"/>
      <c r="M38" s="309">
        <f t="shared" ref="M38" si="18">F38</f>
        <v>5800000</v>
      </c>
      <c r="N38" s="596"/>
      <c r="O38" s="569"/>
      <c r="P38" s="100" t="s">
        <v>29</v>
      </c>
    </row>
    <row r="39" spans="1:16" ht="47.25" x14ac:dyDescent="0.2">
      <c r="A39" s="594"/>
      <c r="B39" s="606" t="s">
        <v>585</v>
      </c>
      <c r="C39" s="607"/>
      <c r="D39" s="568">
        <f>E39</f>
        <v>224235</v>
      </c>
      <c r="E39" s="568">
        <v>224235</v>
      </c>
      <c r="F39" s="309"/>
      <c r="G39" s="259" t="s">
        <v>355</v>
      </c>
      <c r="H39" s="309"/>
      <c r="I39" s="309"/>
      <c r="J39" s="309"/>
      <c r="K39" s="309"/>
      <c r="L39" s="309"/>
      <c r="M39" s="309">
        <f>E39</f>
        <v>224235</v>
      </c>
      <c r="N39" s="596"/>
      <c r="O39" s="569"/>
      <c r="P39" s="100" t="s">
        <v>88</v>
      </c>
    </row>
    <row r="40" spans="1:16" x14ac:dyDescent="0.2">
      <c r="A40" s="605" t="s">
        <v>83</v>
      </c>
      <c r="B40" s="605"/>
      <c r="C40" s="605"/>
      <c r="D40" s="79">
        <f>D8+D22+D31+D35+D37+D38+D39</f>
        <v>31444233.399999999</v>
      </c>
      <c r="E40" s="597">
        <f>E8+E22+E31+E39</f>
        <v>13724235</v>
      </c>
      <c r="F40" s="79">
        <f>F8+F22+F31+F35+F37+F38</f>
        <v>17719998.399999999</v>
      </c>
      <c r="G40" s="597"/>
      <c r="H40" s="597"/>
      <c r="I40" s="597"/>
      <c r="J40" s="79">
        <f>J8+J22+J31+J35+J37+J38+J39</f>
        <v>5836380</v>
      </c>
      <c r="K40" s="79">
        <f>K8+K22+K31+K35+K37+K38+K39</f>
        <v>618.40000000037253</v>
      </c>
      <c r="L40" s="79">
        <f>L8+L22+L31+L35+L37+L38+L39</f>
        <v>5968000</v>
      </c>
      <c r="M40" s="79">
        <f>M8+M22+M31+M35+M37+M38+M39</f>
        <v>25325615</v>
      </c>
      <c r="N40" s="373">
        <f>L40*100/D40</f>
        <v>18.979632685209619</v>
      </c>
      <c r="O40" s="597">
        <f t="shared" ref="O40" si="19">O8+O22+O31</f>
        <v>150000</v>
      </c>
      <c r="P40" s="561"/>
    </row>
  </sheetData>
  <mergeCells count="40">
    <mergeCell ref="A7:C7"/>
    <mergeCell ref="A8:C8"/>
    <mergeCell ref="B9:C9"/>
    <mergeCell ref="B15:C15"/>
    <mergeCell ref="B12:C12"/>
    <mergeCell ref="B11:C11"/>
    <mergeCell ref="B10:C10"/>
    <mergeCell ref="A1:P1"/>
    <mergeCell ref="A5:A6"/>
    <mergeCell ref="B5:C6"/>
    <mergeCell ref="P5:P6"/>
    <mergeCell ref="E4:P4"/>
    <mergeCell ref="G5:K5"/>
    <mergeCell ref="L5:N5"/>
    <mergeCell ref="D5:F5"/>
    <mergeCell ref="A2:P2"/>
    <mergeCell ref="A3:P3"/>
    <mergeCell ref="O5:O6"/>
    <mergeCell ref="B24:C24"/>
    <mergeCell ref="B16:C16"/>
    <mergeCell ref="B32:C32"/>
    <mergeCell ref="B27:C27"/>
    <mergeCell ref="B29:C29"/>
    <mergeCell ref="A31:C31"/>
    <mergeCell ref="A22:C22"/>
    <mergeCell ref="B23:C23"/>
    <mergeCell ref="B25:C25"/>
    <mergeCell ref="B17:C17"/>
    <mergeCell ref="B18:C18"/>
    <mergeCell ref="B33:C33"/>
    <mergeCell ref="A40:C40"/>
    <mergeCell ref="B28:C28"/>
    <mergeCell ref="B26:C26"/>
    <mergeCell ref="B39:C39"/>
    <mergeCell ref="B35:C35"/>
    <mergeCell ref="B38:C38"/>
    <mergeCell ref="B37:C37"/>
    <mergeCell ref="A36:P36"/>
    <mergeCell ref="B30:C30"/>
    <mergeCell ref="A34:P34"/>
  </mergeCells>
  <pageMargins left="0.19685039370078741" right="0.11811023622047245" top="0.19685039370078741" bottom="0.19685039370078741" header="0.11811023622047245" footer="0.11811023622047245"/>
  <pageSetup paperSize="9" scale="73" orientation="landscape" r:id="rId1"/>
  <headerFooter>
    <oddHeader>&amp;R&amp;"TH SarabunPSK,ธรรมดา"&amp;A</oddHeader>
    <oddFooter>&amp;C&amp;"TH SarabunPSK,ธรรมดา"&amp;12หน้าที่ &amp;P&amp;R&amp;"TH SarabunPSK,ธรรมดา"&amp;12&amp;Z&amp;F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1"/>
  <sheetViews>
    <sheetView topLeftCell="A10" zoomScale="80" zoomScaleNormal="80" zoomScaleSheetLayoutView="90" workbookViewId="0">
      <selection activeCell="H8" sqref="H8"/>
    </sheetView>
  </sheetViews>
  <sheetFormatPr defaultColWidth="12.625" defaultRowHeight="21" x14ac:dyDescent="0.2"/>
  <cols>
    <col min="1" max="1" width="2.625" style="18" bestFit="1" customWidth="1"/>
    <col min="2" max="2" width="35.5" style="1" customWidth="1"/>
    <col min="3" max="3" width="12.625" style="1" bestFit="1" customWidth="1"/>
    <col min="4" max="4" width="12.625" style="19" bestFit="1" customWidth="1"/>
    <col min="5" max="5" width="12.375" style="19" customWidth="1"/>
    <col min="6" max="6" width="11.125" style="19" customWidth="1"/>
    <col min="7" max="7" width="11.5" style="19" customWidth="1"/>
    <col min="8" max="8" width="13.5" style="19" customWidth="1"/>
    <col min="9" max="9" width="14.375" style="19" customWidth="1"/>
    <col min="10" max="11" width="13.625" style="19" customWidth="1"/>
    <col min="12" max="12" width="8.125" style="19" customWidth="1"/>
    <col min="13" max="13" width="9.625" style="20" customWidth="1"/>
    <col min="14" max="16384" width="12.625" style="1"/>
  </cols>
  <sheetData>
    <row r="1" spans="1:15" ht="21" customHeight="1" x14ac:dyDescent="0.2">
      <c r="A1" s="649" t="s">
        <v>173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</row>
    <row r="2" spans="1:15" ht="21" customHeight="1" x14ac:dyDescent="0.2">
      <c r="A2" s="649" t="s">
        <v>172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</row>
    <row r="3" spans="1:15" ht="21" customHeight="1" x14ac:dyDescent="0.2">
      <c r="A3" s="649" t="s">
        <v>275</v>
      </c>
      <c r="B3" s="649"/>
      <c r="C3" s="649"/>
      <c r="D3" s="649"/>
      <c r="E3" s="649"/>
      <c r="F3" s="649"/>
      <c r="G3" s="649"/>
      <c r="H3" s="649"/>
      <c r="I3" s="649"/>
      <c r="J3" s="649"/>
      <c r="K3" s="649"/>
      <c r="L3" s="649"/>
      <c r="M3" s="649"/>
    </row>
    <row r="4" spans="1:15" x14ac:dyDescent="0.2">
      <c r="A4" s="2"/>
      <c r="B4" s="2"/>
      <c r="C4" s="2"/>
      <c r="D4" s="371"/>
      <c r="E4" s="371"/>
      <c r="F4" s="371"/>
      <c r="G4" s="371"/>
      <c r="H4" s="371"/>
      <c r="I4" s="371"/>
      <c r="J4" s="654" t="s">
        <v>602</v>
      </c>
      <c r="K4" s="654"/>
      <c r="L4" s="654"/>
      <c r="M4" s="654"/>
    </row>
    <row r="5" spans="1:15" s="3" customFormat="1" ht="44.25" customHeight="1" x14ac:dyDescent="0.2">
      <c r="A5" s="650" t="s">
        <v>89</v>
      </c>
      <c r="B5" s="650" t="s">
        <v>90</v>
      </c>
      <c r="C5" s="651" t="s">
        <v>1</v>
      </c>
      <c r="D5" s="651"/>
      <c r="E5" s="652" t="s">
        <v>186</v>
      </c>
      <c r="F5" s="652"/>
      <c r="G5" s="652"/>
      <c r="H5" s="652"/>
      <c r="I5" s="652"/>
      <c r="J5" s="653" t="s">
        <v>187</v>
      </c>
      <c r="K5" s="653"/>
      <c r="L5" s="653"/>
      <c r="M5" s="652" t="s">
        <v>91</v>
      </c>
    </row>
    <row r="6" spans="1:15" s="3" customFormat="1" ht="42" x14ac:dyDescent="0.2">
      <c r="A6" s="650"/>
      <c r="B6" s="650"/>
      <c r="C6" s="4" t="s">
        <v>3</v>
      </c>
      <c r="D6" s="4" t="s">
        <v>4</v>
      </c>
      <c r="E6" s="353" t="s">
        <v>182</v>
      </c>
      <c r="F6" s="353" t="s">
        <v>183</v>
      </c>
      <c r="G6" s="353" t="s">
        <v>256</v>
      </c>
      <c r="H6" s="353" t="s">
        <v>184</v>
      </c>
      <c r="I6" s="353" t="s">
        <v>185</v>
      </c>
      <c r="J6" s="353" t="s">
        <v>188</v>
      </c>
      <c r="K6" s="353" t="s">
        <v>189</v>
      </c>
      <c r="L6" s="353" t="s">
        <v>190</v>
      </c>
      <c r="M6" s="652"/>
    </row>
    <row r="7" spans="1:15" ht="20.25" customHeight="1" x14ac:dyDescent="0.2">
      <c r="A7" s="657" t="s">
        <v>92</v>
      </c>
      <c r="B7" s="657"/>
      <c r="C7" s="103">
        <f>D7</f>
        <v>49000000</v>
      </c>
      <c r="D7" s="103">
        <f t="shared" ref="C7:K9" si="0">D8</f>
        <v>49000000</v>
      </c>
      <c r="E7" s="103"/>
      <c r="F7" s="103"/>
      <c r="G7" s="103"/>
      <c r="H7" s="303">
        <v>0</v>
      </c>
      <c r="I7" s="303">
        <f t="shared" si="0"/>
        <v>1700000</v>
      </c>
      <c r="J7" s="303">
        <v>0</v>
      </c>
      <c r="K7" s="303">
        <f t="shared" si="0"/>
        <v>47300000</v>
      </c>
      <c r="L7" s="106">
        <v>0</v>
      </c>
      <c r="M7" s="5"/>
    </row>
    <row r="8" spans="1:15" ht="20.25" customHeight="1" x14ac:dyDescent="0.2">
      <c r="A8" s="646" t="s">
        <v>93</v>
      </c>
      <c r="B8" s="646"/>
      <c r="C8" s="6">
        <f t="shared" si="0"/>
        <v>49000000</v>
      </c>
      <c r="D8" s="6">
        <f t="shared" si="0"/>
        <v>49000000</v>
      </c>
      <c r="E8" s="6"/>
      <c r="F8" s="6"/>
      <c r="G8" s="6"/>
      <c r="H8" s="304">
        <f t="shared" si="0"/>
        <v>47300000</v>
      </c>
      <c r="I8" s="304">
        <f t="shared" si="0"/>
        <v>1700000</v>
      </c>
      <c r="J8" s="304">
        <f t="shared" si="0"/>
        <v>0</v>
      </c>
      <c r="K8" s="304">
        <f t="shared" si="0"/>
        <v>47300000</v>
      </c>
      <c r="L8" s="6">
        <v>0</v>
      </c>
      <c r="M8" s="7"/>
    </row>
    <row r="9" spans="1:15" ht="24" customHeight="1" x14ac:dyDescent="0.2">
      <c r="A9" s="658" t="s">
        <v>94</v>
      </c>
      <c r="B9" s="658"/>
      <c r="C9" s="8">
        <f t="shared" si="0"/>
        <v>49000000</v>
      </c>
      <c r="D9" s="8">
        <f t="shared" si="0"/>
        <v>49000000</v>
      </c>
      <c r="E9" s="8"/>
      <c r="F9" s="8"/>
      <c r="G9" s="8"/>
      <c r="H9" s="305">
        <f t="shared" si="0"/>
        <v>47300000</v>
      </c>
      <c r="I9" s="305">
        <f t="shared" si="0"/>
        <v>1700000</v>
      </c>
      <c r="J9" s="305">
        <f t="shared" si="0"/>
        <v>0</v>
      </c>
      <c r="K9" s="305">
        <f t="shared" si="0"/>
        <v>47300000</v>
      </c>
      <c r="L9" s="8">
        <v>0</v>
      </c>
      <c r="M9" s="9"/>
    </row>
    <row r="10" spans="1:15" s="13" customFormat="1" ht="56.25" x14ac:dyDescent="0.2">
      <c r="A10" s="10">
        <v>1</v>
      </c>
      <c r="B10" s="11" t="s">
        <v>95</v>
      </c>
      <c r="C10" s="104">
        <f>D10</f>
        <v>49000000</v>
      </c>
      <c r="D10" s="104">
        <v>49000000</v>
      </c>
      <c r="E10" s="354" t="s">
        <v>368</v>
      </c>
      <c r="F10" s="356" t="s">
        <v>510</v>
      </c>
      <c r="G10" s="357" t="s">
        <v>511</v>
      </c>
      <c r="H10" s="306">
        <v>47300000</v>
      </c>
      <c r="I10" s="306">
        <f>D10-H10</f>
        <v>1700000</v>
      </c>
      <c r="J10" s="306"/>
      <c r="K10" s="306">
        <f>H10-J10</f>
        <v>47300000</v>
      </c>
      <c r="L10" s="12">
        <v>0</v>
      </c>
      <c r="M10" s="25" t="s">
        <v>29</v>
      </c>
    </row>
    <row r="11" spans="1:15" hidden="1" x14ac:dyDescent="0.2">
      <c r="A11" s="659" t="s">
        <v>92</v>
      </c>
      <c r="B11" s="659"/>
      <c r="C11" s="105"/>
      <c r="D11" s="105"/>
      <c r="E11" s="105"/>
      <c r="F11" s="105"/>
      <c r="G11" s="105"/>
      <c r="H11" s="307"/>
      <c r="I11" s="307"/>
      <c r="J11" s="307"/>
      <c r="K11" s="307"/>
      <c r="L11" s="14"/>
      <c r="M11" s="21"/>
    </row>
    <row r="12" spans="1:15" hidden="1" x14ac:dyDescent="0.2">
      <c r="A12" s="660" t="s">
        <v>93</v>
      </c>
      <c r="B12" s="660"/>
      <c r="C12" s="15"/>
      <c r="D12" s="15"/>
      <c r="E12" s="15"/>
      <c r="F12" s="15"/>
      <c r="G12" s="15"/>
      <c r="H12" s="308"/>
      <c r="I12" s="308"/>
      <c r="J12" s="308"/>
      <c r="K12" s="308"/>
      <c r="L12" s="15"/>
      <c r="M12" s="22"/>
    </row>
    <row r="13" spans="1:15" ht="21.75" customHeight="1" x14ac:dyDescent="0.2">
      <c r="A13" s="657" t="s">
        <v>96</v>
      </c>
      <c r="B13" s="657"/>
      <c r="C13" s="103">
        <f>C14</f>
        <v>26149800</v>
      </c>
      <c r="D13" s="103">
        <f>D14</f>
        <v>26149800</v>
      </c>
      <c r="E13" s="103"/>
      <c r="F13" s="103"/>
      <c r="G13" s="103"/>
      <c r="H13" s="303">
        <f t="shared" ref="H13:K14" si="1">H14</f>
        <v>26141787.800000001</v>
      </c>
      <c r="I13" s="303">
        <f t="shared" si="1"/>
        <v>8012.2000000001863</v>
      </c>
      <c r="J13" s="303">
        <f t="shared" si="1"/>
        <v>1942200</v>
      </c>
      <c r="K13" s="303">
        <f t="shared" si="1"/>
        <v>24199587.800000001</v>
      </c>
      <c r="L13" s="106">
        <f>J13*100/H13</f>
        <v>7.4294842221923316</v>
      </c>
      <c r="M13" s="23"/>
    </row>
    <row r="14" spans="1:15" ht="45" customHeight="1" x14ac:dyDescent="0.2">
      <c r="A14" s="646" t="s">
        <v>97</v>
      </c>
      <c r="B14" s="646"/>
      <c r="C14" s="6">
        <f>C15</f>
        <v>26149800</v>
      </c>
      <c r="D14" s="6">
        <f>D15</f>
        <v>26149800</v>
      </c>
      <c r="E14" s="6"/>
      <c r="F14" s="6"/>
      <c r="G14" s="6"/>
      <c r="H14" s="304">
        <f t="shared" si="1"/>
        <v>26141787.800000001</v>
      </c>
      <c r="I14" s="304">
        <f t="shared" si="1"/>
        <v>8012.2000000001863</v>
      </c>
      <c r="J14" s="304">
        <f t="shared" si="1"/>
        <v>1942200</v>
      </c>
      <c r="K14" s="304">
        <f t="shared" si="1"/>
        <v>24199587.800000001</v>
      </c>
      <c r="L14" s="304">
        <f>J14*100/H14</f>
        <v>7.4294842221923316</v>
      </c>
      <c r="M14" s="24"/>
    </row>
    <row r="15" spans="1:15" s="16" customFormat="1" ht="47.25" customHeight="1" x14ac:dyDescent="0.2">
      <c r="A15" s="10">
        <v>1</v>
      </c>
      <c r="B15" s="11" t="s">
        <v>98</v>
      </c>
      <c r="C15" s="102">
        <f>D15</f>
        <v>26149800</v>
      </c>
      <c r="D15" s="102">
        <f>D16+D19+D20+D21+D22</f>
        <v>26149800</v>
      </c>
      <c r="E15" s="102"/>
      <c r="F15" s="102"/>
      <c r="G15" s="102"/>
      <c r="H15" s="306">
        <f>H16+H19+H20+H21+H22+H17+H18</f>
        <v>26141787.800000001</v>
      </c>
      <c r="I15" s="306">
        <f t="shared" ref="I15:K15" si="2">I16+I19+I20+I21+I22</f>
        <v>8012.2000000001863</v>
      </c>
      <c r="J15" s="306">
        <f t="shared" si="2"/>
        <v>1942200</v>
      </c>
      <c r="K15" s="306">
        <f t="shared" si="2"/>
        <v>24199587.800000001</v>
      </c>
      <c r="L15" s="306">
        <f>J15*100/D15</f>
        <v>7.4272078562742356</v>
      </c>
      <c r="M15" s="389" t="s">
        <v>99</v>
      </c>
      <c r="N15" s="1"/>
      <c r="O15" s="1"/>
    </row>
    <row r="16" spans="1:15" s="16" customFormat="1" ht="63" x14ac:dyDescent="0.2">
      <c r="A16" s="647"/>
      <c r="B16" s="647" t="s">
        <v>487</v>
      </c>
      <c r="C16" s="645">
        <f>D16</f>
        <v>5753860</v>
      </c>
      <c r="D16" s="645">
        <f>6039000-285140</f>
        <v>5753860</v>
      </c>
      <c r="E16" s="661" t="s">
        <v>368</v>
      </c>
      <c r="F16" s="367" t="s">
        <v>526</v>
      </c>
      <c r="G16" s="367" t="s">
        <v>525</v>
      </c>
      <c r="H16" s="312">
        <v>492500</v>
      </c>
      <c r="I16" s="648">
        <f>D16-H16-H17-H18</f>
        <v>5912.2000000001863</v>
      </c>
      <c r="J16" s="648"/>
      <c r="K16" s="648">
        <f>N16-J16</f>
        <v>5747947.7999999998</v>
      </c>
      <c r="L16" s="645">
        <v>0</v>
      </c>
      <c r="M16" s="662"/>
      <c r="N16" s="369">
        <v>5747947.7999999998</v>
      </c>
      <c r="O16" s="1"/>
    </row>
    <row r="17" spans="1:15" s="16" customFormat="1" ht="72.75" customHeight="1" x14ac:dyDescent="0.2">
      <c r="A17" s="647"/>
      <c r="B17" s="647"/>
      <c r="C17" s="645"/>
      <c r="D17" s="645"/>
      <c r="E17" s="661"/>
      <c r="F17" s="367" t="s">
        <v>521</v>
      </c>
      <c r="G17" s="367" t="s">
        <v>523</v>
      </c>
      <c r="H17" s="312">
        <v>2455447.7999999998</v>
      </c>
      <c r="I17" s="648"/>
      <c r="J17" s="648"/>
      <c r="K17" s="648"/>
      <c r="L17" s="645"/>
      <c r="M17" s="662"/>
      <c r="N17" s="370"/>
      <c r="O17" s="370"/>
    </row>
    <row r="18" spans="1:15" s="16" customFormat="1" ht="63" x14ac:dyDescent="0.2">
      <c r="A18" s="647"/>
      <c r="B18" s="647"/>
      <c r="C18" s="645"/>
      <c r="D18" s="645"/>
      <c r="E18" s="661"/>
      <c r="F18" s="367" t="s">
        <v>522</v>
      </c>
      <c r="G18" s="367" t="s">
        <v>524</v>
      </c>
      <c r="H18" s="312">
        <v>2800000</v>
      </c>
      <c r="I18" s="648"/>
      <c r="J18" s="648"/>
      <c r="K18" s="648"/>
      <c r="L18" s="645"/>
      <c r="M18" s="662"/>
      <c r="N18" s="1"/>
      <c r="O18" s="1"/>
    </row>
    <row r="19" spans="1:15" s="16" customFormat="1" ht="84" x14ac:dyDescent="0.2">
      <c r="A19" s="310"/>
      <c r="B19" s="311" t="s">
        <v>100</v>
      </c>
      <c r="C19" s="96">
        <f t="shared" ref="C19:C22" si="3">D19</f>
        <v>1942200</v>
      </c>
      <c r="D19" s="96">
        <f>1992000-49800</f>
        <v>1942200</v>
      </c>
      <c r="E19" s="339" t="s">
        <v>395</v>
      </c>
      <c r="F19" s="339" t="s">
        <v>490</v>
      </c>
      <c r="G19" s="339" t="s">
        <v>489</v>
      </c>
      <c r="H19" s="309">
        <v>1942200</v>
      </c>
      <c r="I19" s="312">
        <f>D19-H19</f>
        <v>0</v>
      </c>
      <c r="J19" s="312">
        <v>1942200</v>
      </c>
      <c r="K19" s="312">
        <f t="shared" ref="K19:K22" si="4">H19-J19</f>
        <v>0</v>
      </c>
      <c r="L19" s="312">
        <f>J19*100/H19</f>
        <v>100</v>
      </c>
      <c r="M19" s="662"/>
      <c r="N19" s="1"/>
      <c r="O19" s="1"/>
    </row>
    <row r="20" spans="1:15" s="16" customFormat="1" ht="63" x14ac:dyDescent="0.2">
      <c r="A20" s="310"/>
      <c r="B20" s="311" t="s">
        <v>101</v>
      </c>
      <c r="C20" s="96">
        <f t="shared" si="3"/>
        <v>1653800</v>
      </c>
      <c r="D20" s="96">
        <f>3320000-1666200</f>
        <v>1653800</v>
      </c>
      <c r="E20" s="339" t="s">
        <v>368</v>
      </c>
      <c r="F20" s="339" t="s">
        <v>491</v>
      </c>
      <c r="G20" s="339" t="s">
        <v>455</v>
      </c>
      <c r="H20" s="309">
        <v>1651700</v>
      </c>
      <c r="I20" s="312">
        <f>D20-H20</f>
        <v>2100</v>
      </c>
      <c r="J20" s="312"/>
      <c r="K20" s="312">
        <f t="shared" si="4"/>
        <v>1651700</v>
      </c>
      <c r="L20" s="96">
        <v>0</v>
      </c>
      <c r="M20" s="663" t="s">
        <v>99</v>
      </c>
      <c r="N20" s="1"/>
      <c r="O20" s="1"/>
    </row>
    <row r="21" spans="1:15" s="16" customFormat="1" ht="84" x14ac:dyDescent="0.2">
      <c r="A21" s="310"/>
      <c r="B21" s="311" t="s">
        <v>258</v>
      </c>
      <c r="C21" s="96">
        <f t="shared" si="3"/>
        <v>16799940</v>
      </c>
      <c r="D21" s="96">
        <f>24372000-7572060</f>
        <v>16799940</v>
      </c>
      <c r="E21" s="339" t="s">
        <v>368</v>
      </c>
      <c r="F21" s="339" t="s">
        <v>492</v>
      </c>
      <c r="G21" s="339" t="s">
        <v>488</v>
      </c>
      <c r="H21" s="309">
        <v>16799940</v>
      </c>
      <c r="I21" s="312">
        <f>D21-H21</f>
        <v>0</v>
      </c>
      <c r="J21" s="312"/>
      <c r="K21" s="312">
        <f>H21-J21</f>
        <v>16799940</v>
      </c>
      <c r="L21" s="96">
        <v>0</v>
      </c>
      <c r="M21" s="664"/>
      <c r="N21" s="1"/>
      <c r="O21" s="1"/>
    </row>
    <row r="22" spans="1:15" s="16" customFormat="1" ht="78.75" x14ac:dyDescent="0.2">
      <c r="A22" s="310"/>
      <c r="B22" s="311" t="s">
        <v>288</v>
      </c>
      <c r="C22" s="96">
        <f t="shared" si="3"/>
        <v>0</v>
      </c>
      <c r="D22" s="96">
        <f>3960000-3960000</f>
        <v>0</v>
      </c>
      <c r="E22" s="339" t="s">
        <v>272</v>
      </c>
      <c r="F22" s="309"/>
      <c r="G22" s="309"/>
      <c r="H22" s="309"/>
      <c r="I22" s="312"/>
      <c r="J22" s="312"/>
      <c r="K22" s="312">
        <f t="shared" si="4"/>
        <v>0</v>
      </c>
      <c r="L22" s="96">
        <v>0</v>
      </c>
      <c r="M22" s="329" t="s">
        <v>419</v>
      </c>
      <c r="N22" s="1"/>
      <c r="O22" s="1"/>
    </row>
    <row r="23" spans="1:15" s="16" customFormat="1" x14ac:dyDescent="0.2">
      <c r="A23" s="643" t="s">
        <v>477</v>
      </c>
      <c r="B23" s="644"/>
      <c r="C23" s="381">
        <f t="shared" ref="C23:C29" si="5">D23</f>
        <v>9573200</v>
      </c>
      <c r="D23" s="381">
        <f>D24+D25+D26+D27+D28+D29</f>
        <v>9573200</v>
      </c>
      <c r="E23" s="380"/>
      <c r="F23" s="380"/>
      <c r="G23" s="380"/>
      <c r="H23" s="361">
        <f>H24+H25+H26+H27+H28+H29</f>
        <v>457700</v>
      </c>
      <c r="I23" s="361">
        <f t="shared" ref="I23:K23" si="6">I24+I25+I26+I27+I28+I29</f>
        <v>0</v>
      </c>
      <c r="J23" s="361">
        <f t="shared" si="6"/>
        <v>457700</v>
      </c>
      <c r="K23" s="361">
        <f t="shared" si="6"/>
        <v>9115500</v>
      </c>
      <c r="L23" s="380"/>
      <c r="M23" s="380"/>
      <c r="N23" s="1"/>
      <c r="O23" s="1"/>
    </row>
    <row r="24" spans="1:15" s="16" customFormat="1" ht="47.25" customHeight="1" x14ac:dyDescent="0.2">
      <c r="A24" s="310"/>
      <c r="B24" s="328" t="s">
        <v>478</v>
      </c>
      <c r="C24" s="331">
        <f t="shared" si="5"/>
        <v>1716000</v>
      </c>
      <c r="D24" s="330">
        <v>1716000</v>
      </c>
      <c r="E24" s="368" t="s">
        <v>574</v>
      </c>
      <c r="F24" s="328"/>
      <c r="G24" s="328"/>
      <c r="H24" s="328"/>
      <c r="I24" s="328"/>
      <c r="J24" s="328"/>
      <c r="K24" s="331">
        <f>D24</f>
        <v>1716000</v>
      </c>
      <c r="L24" s="328"/>
      <c r="M24" s="639" t="s">
        <v>99</v>
      </c>
      <c r="N24" s="1"/>
      <c r="O24" s="1"/>
    </row>
    <row r="25" spans="1:15" s="16" customFormat="1" ht="63" x14ac:dyDescent="0.2">
      <c r="A25" s="359"/>
      <c r="B25" s="362" t="s">
        <v>515</v>
      </c>
      <c r="C25" s="331">
        <f t="shared" si="5"/>
        <v>457700</v>
      </c>
      <c r="D25" s="330">
        <v>457700</v>
      </c>
      <c r="E25" s="310" t="s">
        <v>395</v>
      </c>
      <c r="F25" s="339" t="s">
        <v>495</v>
      </c>
      <c r="G25" s="363" t="s">
        <v>520</v>
      </c>
      <c r="H25" s="364">
        <v>457700</v>
      </c>
      <c r="I25" s="364">
        <f>D25-H25</f>
        <v>0</v>
      </c>
      <c r="J25" s="364">
        <v>457700</v>
      </c>
      <c r="K25" s="364">
        <f>H25-J25</f>
        <v>0</v>
      </c>
      <c r="L25" s="365">
        <f>J25*100/H25</f>
        <v>100</v>
      </c>
      <c r="M25" s="640"/>
      <c r="N25" s="1"/>
      <c r="O25" s="1"/>
    </row>
    <row r="26" spans="1:15" s="16" customFormat="1" ht="42" x14ac:dyDescent="0.2">
      <c r="A26" s="359"/>
      <c r="B26" s="366" t="s">
        <v>516</v>
      </c>
      <c r="C26" s="331">
        <f t="shared" si="5"/>
        <v>2000000</v>
      </c>
      <c r="D26" s="330">
        <v>2000000</v>
      </c>
      <c r="E26" s="602" t="s">
        <v>574</v>
      </c>
      <c r="F26" s="328"/>
      <c r="G26" s="328"/>
      <c r="H26" s="328"/>
      <c r="I26" s="328"/>
      <c r="J26" s="328"/>
      <c r="K26" s="331">
        <f>D26</f>
        <v>2000000</v>
      </c>
      <c r="L26" s="360"/>
      <c r="M26" s="640"/>
      <c r="N26" s="1"/>
      <c r="O26" s="1"/>
    </row>
    <row r="27" spans="1:15" s="16" customFormat="1" ht="42" x14ac:dyDescent="0.2">
      <c r="A27" s="359"/>
      <c r="B27" s="328" t="s">
        <v>517</v>
      </c>
      <c r="C27" s="331">
        <f t="shared" si="5"/>
        <v>1200000</v>
      </c>
      <c r="D27" s="330">
        <v>1200000</v>
      </c>
      <c r="E27" s="602" t="s">
        <v>574</v>
      </c>
      <c r="F27" s="328"/>
      <c r="G27" s="328"/>
      <c r="H27" s="328"/>
      <c r="I27" s="328"/>
      <c r="J27" s="328"/>
      <c r="K27" s="331">
        <f t="shared" ref="K27:K29" si="7">D27</f>
        <v>1200000</v>
      </c>
      <c r="L27" s="360"/>
      <c r="M27" s="640"/>
      <c r="N27" s="1"/>
      <c r="O27" s="1"/>
    </row>
    <row r="28" spans="1:15" s="16" customFormat="1" ht="42" x14ac:dyDescent="0.2">
      <c r="A28" s="359"/>
      <c r="B28" s="328" t="s">
        <v>518</v>
      </c>
      <c r="C28" s="331">
        <f t="shared" si="5"/>
        <v>3055500</v>
      </c>
      <c r="D28" s="330">
        <v>3055500</v>
      </c>
      <c r="E28" s="602" t="s">
        <v>574</v>
      </c>
      <c r="F28" s="328"/>
      <c r="G28" s="328"/>
      <c r="H28" s="328"/>
      <c r="I28" s="328"/>
      <c r="J28" s="328"/>
      <c r="K28" s="331">
        <f t="shared" si="7"/>
        <v>3055500</v>
      </c>
      <c r="L28" s="360"/>
      <c r="M28" s="640"/>
      <c r="N28" s="1"/>
      <c r="O28" s="1"/>
    </row>
    <row r="29" spans="1:15" s="16" customFormat="1" ht="42" x14ac:dyDescent="0.2">
      <c r="A29" s="359"/>
      <c r="B29" s="328" t="s">
        <v>519</v>
      </c>
      <c r="C29" s="331">
        <f t="shared" si="5"/>
        <v>1144000</v>
      </c>
      <c r="D29" s="330">
        <v>1144000</v>
      </c>
      <c r="E29" s="602" t="s">
        <v>574</v>
      </c>
      <c r="F29" s="328"/>
      <c r="G29" s="328"/>
      <c r="H29" s="328"/>
      <c r="I29" s="328"/>
      <c r="J29" s="328"/>
      <c r="K29" s="331">
        <f t="shared" si="7"/>
        <v>1144000</v>
      </c>
      <c r="L29" s="360"/>
      <c r="M29" s="641"/>
      <c r="N29" s="1"/>
      <c r="O29" s="1"/>
    </row>
    <row r="30" spans="1:15" s="16" customFormat="1" ht="21" customHeight="1" x14ac:dyDescent="0.2">
      <c r="A30" s="642" t="s">
        <v>569</v>
      </c>
      <c r="B30" s="642"/>
      <c r="C30" s="381">
        <f>D30</f>
        <v>3957000</v>
      </c>
      <c r="D30" s="381">
        <f>D31+D32+D33</f>
        <v>3957000</v>
      </c>
      <c r="E30" s="380"/>
      <c r="F30" s="380"/>
      <c r="G30" s="380"/>
      <c r="H30" s="380"/>
      <c r="I30" s="380"/>
      <c r="J30" s="380"/>
      <c r="K30" s="380"/>
      <c r="L30" s="380"/>
      <c r="M30" s="380"/>
      <c r="N30" s="1"/>
      <c r="O30" s="1"/>
    </row>
    <row r="31" spans="1:15" s="16" customFormat="1" x14ac:dyDescent="0.2">
      <c r="A31" s="359"/>
      <c r="B31" s="328" t="s">
        <v>586</v>
      </c>
      <c r="C31" s="331">
        <f>D31</f>
        <v>1100000</v>
      </c>
      <c r="D31" s="330">
        <v>1100000</v>
      </c>
      <c r="E31" s="379" t="s">
        <v>590</v>
      </c>
      <c r="F31" s="328"/>
      <c r="G31" s="328"/>
      <c r="H31" s="328"/>
      <c r="I31" s="328"/>
      <c r="J31" s="328"/>
      <c r="K31" s="331">
        <f>D31</f>
        <v>1100000</v>
      </c>
      <c r="L31" s="360"/>
      <c r="M31" s="639" t="s">
        <v>99</v>
      </c>
      <c r="N31" s="1"/>
      <c r="O31" s="1"/>
    </row>
    <row r="32" spans="1:15" s="16" customFormat="1" x14ac:dyDescent="0.2">
      <c r="A32" s="359"/>
      <c r="B32" s="328" t="s">
        <v>587</v>
      </c>
      <c r="C32" s="331">
        <f>D32</f>
        <v>2220000</v>
      </c>
      <c r="D32" s="330">
        <v>2220000</v>
      </c>
      <c r="E32" s="382" t="s">
        <v>590</v>
      </c>
      <c r="F32" s="328"/>
      <c r="G32" s="328"/>
      <c r="H32" s="328"/>
      <c r="I32" s="328"/>
      <c r="J32" s="328"/>
      <c r="K32" s="331">
        <f t="shared" ref="K32:K33" si="8">D32</f>
        <v>2220000</v>
      </c>
      <c r="L32" s="360"/>
      <c r="M32" s="640"/>
      <c r="N32" s="1"/>
      <c r="O32" s="1"/>
    </row>
    <row r="33" spans="1:15" s="16" customFormat="1" x14ac:dyDescent="0.2">
      <c r="A33" s="359"/>
      <c r="B33" s="328" t="s">
        <v>588</v>
      </c>
      <c r="C33" s="331">
        <f>D33</f>
        <v>637000</v>
      </c>
      <c r="D33" s="330">
        <v>637000</v>
      </c>
      <c r="E33" s="382" t="s">
        <v>590</v>
      </c>
      <c r="F33" s="328"/>
      <c r="G33" s="328"/>
      <c r="H33" s="328"/>
      <c r="I33" s="328"/>
      <c r="J33" s="328"/>
      <c r="K33" s="331">
        <f t="shared" si="8"/>
        <v>637000</v>
      </c>
      <c r="L33" s="360"/>
      <c r="M33" s="641"/>
      <c r="N33" s="1"/>
      <c r="O33" s="1"/>
    </row>
    <row r="34" spans="1:15" ht="23.25" customHeight="1" x14ac:dyDescent="0.2">
      <c r="A34" s="655" t="s">
        <v>102</v>
      </c>
      <c r="B34" s="656"/>
      <c r="C34" s="103">
        <f>C7+C13+C23+C30</f>
        <v>88680000</v>
      </c>
      <c r="D34" s="103">
        <f>D7+D13+D23+D30</f>
        <v>88680000</v>
      </c>
      <c r="E34" s="103"/>
      <c r="F34" s="103"/>
      <c r="G34" s="103"/>
      <c r="H34" s="303">
        <f t="shared" ref="H34:K34" si="9">H7+H13+H23+H30</f>
        <v>26599487.800000001</v>
      </c>
      <c r="I34" s="303">
        <f t="shared" si="9"/>
        <v>1708012.2000000002</v>
      </c>
      <c r="J34" s="303">
        <f t="shared" si="9"/>
        <v>2399900</v>
      </c>
      <c r="K34" s="303">
        <f t="shared" si="9"/>
        <v>80615087.799999997</v>
      </c>
      <c r="L34" s="355">
        <f>J34*100/D34</f>
        <v>2.7062471808750566</v>
      </c>
      <c r="M34" s="17"/>
    </row>
    <row r="38" spans="1:15" x14ac:dyDescent="0.2">
      <c r="I38" s="369">
        <f>I34+K34</f>
        <v>82323100</v>
      </c>
    </row>
    <row r="41" spans="1:15" x14ac:dyDescent="0.2">
      <c r="H41" s="369"/>
    </row>
  </sheetData>
  <mergeCells count="33">
    <mergeCell ref="A34:B34"/>
    <mergeCell ref="A2:M2"/>
    <mergeCell ref="A7:B7"/>
    <mergeCell ref="A8:B8"/>
    <mergeCell ref="A9:B9"/>
    <mergeCell ref="A11:B11"/>
    <mergeCell ref="A12:B12"/>
    <mergeCell ref="A3:M3"/>
    <mergeCell ref="M24:M29"/>
    <mergeCell ref="E16:E18"/>
    <mergeCell ref="B16:B18"/>
    <mergeCell ref="C16:C18"/>
    <mergeCell ref="D16:D18"/>
    <mergeCell ref="M16:M19"/>
    <mergeCell ref="M20:M21"/>
    <mergeCell ref="A13:B13"/>
    <mergeCell ref="A1:M1"/>
    <mergeCell ref="A5:A6"/>
    <mergeCell ref="B5:B6"/>
    <mergeCell ref="C5:D5"/>
    <mergeCell ref="E5:I5"/>
    <mergeCell ref="J5:L5"/>
    <mergeCell ref="M5:M6"/>
    <mergeCell ref="J4:M4"/>
    <mergeCell ref="M31:M33"/>
    <mergeCell ref="A30:B30"/>
    <mergeCell ref="A23:B23"/>
    <mergeCell ref="L16:L18"/>
    <mergeCell ref="A14:B14"/>
    <mergeCell ref="A16:A18"/>
    <mergeCell ref="I16:I18"/>
    <mergeCell ref="J16:J18"/>
    <mergeCell ref="K16:K18"/>
  </mergeCells>
  <pageMargins left="0.19685039370078741" right="0.11811023622047245" top="0.19685039370078741" bottom="0.19685039370078741" header="0.11811023622047245" footer="0.11811023622047245"/>
  <pageSetup paperSize="9" scale="78" fitToWidth="0" fitToHeight="0" orientation="landscape" r:id="rId1"/>
  <headerFooter>
    <oddHeader>&amp;R&amp;"TH SarabunPSK,ธรรมดา"&amp;A</oddHeader>
    <oddFooter>&amp;C&amp;"TH SarabunPSK,ธรรมดา"&amp;Z&amp;F&amp;R&amp;"TH SarabunPSK,ธรรมดา"หน้าที่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27"/>
  <sheetViews>
    <sheetView tabSelected="1" view="pageBreakPreview" zoomScale="80" zoomScaleNormal="80" zoomScaleSheetLayoutView="80" zoomScalePageLayoutView="90" workbookViewId="0">
      <pane xSplit="9" ySplit="7" topLeftCell="J155" activePane="bottomRight" state="frozen"/>
      <selection pane="topRight" activeCell="J1" sqref="J1"/>
      <selection pane="bottomLeft" activeCell="A8" sqref="A8"/>
      <selection pane="bottomRight" activeCell="K163" sqref="K163"/>
    </sheetView>
  </sheetViews>
  <sheetFormatPr defaultRowHeight="21" x14ac:dyDescent="0.2"/>
  <cols>
    <col min="1" max="1" width="1.25" style="27" customWidth="1"/>
    <col min="2" max="2" width="1.125" style="27" customWidth="1"/>
    <col min="3" max="3" width="1.625" style="27" customWidth="1"/>
    <col min="4" max="4" width="40.5" style="27" customWidth="1"/>
    <col min="5" max="5" width="13.875" style="27" customWidth="1"/>
    <col min="6" max="6" width="14" style="58" customWidth="1"/>
    <col min="7" max="7" width="10.875" style="58" customWidth="1"/>
    <col min="8" max="8" width="9.75" style="548" customWidth="1"/>
    <col min="9" max="9" width="10.125" style="549" customWidth="1"/>
    <col min="10" max="10" width="9.25" style="548" customWidth="1"/>
    <col min="11" max="11" width="13.5" style="58" customWidth="1"/>
    <col min="12" max="12" width="13.25" style="58" customWidth="1"/>
    <col min="13" max="13" width="14" style="58" customWidth="1"/>
    <col min="14" max="14" width="14.375" style="58" customWidth="1"/>
    <col min="15" max="15" width="7.875" style="58" customWidth="1"/>
    <col min="16" max="16" width="12.625" style="58" customWidth="1"/>
    <col min="17" max="17" width="10.625" style="58" customWidth="1"/>
    <col min="18" max="18" width="13.75" style="27" bestFit="1" customWidth="1"/>
    <col min="19" max="19" width="9" style="27"/>
    <col min="20" max="20" width="13.75" style="27" bestFit="1" customWidth="1"/>
    <col min="21" max="16384" width="9" style="27"/>
  </cols>
  <sheetData>
    <row r="1" spans="1:21" x14ac:dyDescent="0.2">
      <c r="A1" s="677" t="s">
        <v>171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677"/>
      <c r="N1" s="677"/>
      <c r="O1" s="677"/>
      <c r="P1" s="677"/>
      <c r="Q1" s="677"/>
    </row>
    <row r="2" spans="1:21" x14ac:dyDescent="0.2">
      <c r="A2" s="677" t="s">
        <v>172</v>
      </c>
      <c r="B2" s="677"/>
      <c r="C2" s="677"/>
      <c r="D2" s="677"/>
      <c r="E2" s="677"/>
      <c r="F2" s="677"/>
      <c r="G2" s="677"/>
      <c r="H2" s="677"/>
      <c r="I2" s="677"/>
      <c r="J2" s="677"/>
      <c r="K2" s="677"/>
      <c r="L2" s="677"/>
      <c r="M2" s="677"/>
      <c r="N2" s="677"/>
      <c r="O2" s="677"/>
      <c r="P2" s="677"/>
      <c r="Q2" s="677"/>
    </row>
    <row r="3" spans="1:21" x14ac:dyDescent="0.2">
      <c r="A3" s="677" t="s">
        <v>276</v>
      </c>
      <c r="B3" s="677"/>
      <c r="C3" s="677"/>
      <c r="D3" s="677"/>
      <c r="E3" s="677"/>
      <c r="F3" s="677"/>
      <c r="G3" s="677"/>
      <c r="H3" s="677"/>
      <c r="I3" s="677"/>
      <c r="J3" s="677"/>
      <c r="K3" s="677"/>
      <c r="L3" s="677"/>
      <c r="M3" s="677"/>
      <c r="N3" s="677"/>
      <c r="O3" s="677"/>
      <c r="P3" s="677"/>
      <c r="Q3" s="677"/>
    </row>
    <row r="4" spans="1:21" x14ac:dyDescent="0.2">
      <c r="A4" s="28"/>
      <c r="B4" s="28"/>
      <c r="C4" s="28"/>
      <c r="D4" s="28"/>
      <c r="E4" s="28"/>
      <c r="F4" s="390"/>
      <c r="G4" s="92"/>
      <c r="H4" s="254"/>
      <c r="I4" s="262"/>
      <c r="J4" s="254"/>
      <c r="K4" s="92"/>
      <c r="L4" s="92"/>
      <c r="M4" s="92"/>
      <c r="N4" s="676" t="s">
        <v>602</v>
      </c>
      <c r="O4" s="676"/>
      <c r="P4" s="676"/>
      <c r="Q4" s="676"/>
    </row>
    <row r="5" spans="1:21" s="29" customFormat="1" ht="17.25" customHeight="1" x14ac:dyDescent="0.2">
      <c r="A5" s="690" t="s">
        <v>0</v>
      </c>
      <c r="B5" s="691"/>
      <c r="C5" s="691"/>
      <c r="D5" s="692"/>
      <c r="E5" s="698" t="s">
        <v>1</v>
      </c>
      <c r="F5" s="699"/>
      <c r="G5" s="700"/>
      <c r="H5" s="625" t="s">
        <v>186</v>
      </c>
      <c r="I5" s="625"/>
      <c r="J5" s="625"/>
      <c r="K5" s="625"/>
      <c r="L5" s="625"/>
      <c r="M5" s="625" t="s">
        <v>187</v>
      </c>
      <c r="N5" s="625"/>
      <c r="O5" s="625"/>
      <c r="P5" s="628" t="s">
        <v>287</v>
      </c>
      <c r="Q5" s="682" t="s">
        <v>2</v>
      </c>
    </row>
    <row r="6" spans="1:21" s="29" customFormat="1" ht="42" x14ac:dyDescent="0.2">
      <c r="A6" s="693"/>
      <c r="B6" s="694"/>
      <c r="C6" s="694"/>
      <c r="D6" s="695"/>
      <c r="E6" s="388" t="s">
        <v>3</v>
      </c>
      <c r="F6" s="388" t="s">
        <v>4</v>
      </c>
      <c r="G6" s="388" t="s">
        <v>5</v>
      </c>
      <c r="H6" s="30" t="s">
        <v>182</v>
      </c>
      <c r="I6" s="391" t="s">
        <v>183</v>
      </c>
      <c r="J6" s="30" t="s">
        <v>256</v>
      </c>
      <c r="K6" s="30" t="s">
        <v>184</v>
      </c>
      <c r="L6" s="30" t="s">
        <v>185</v>
      </c>
      <c r="M6" s="30" t="s">
        <v>188</v>
      </c>
      <c r="N6" s="30" t="s">
        <v>189</v>
      </c>
      <c r="O6" s="30" t="s">
        <v>190</v>
      </c>
      <c r="P6" s="629"/>
      <c r="Q6" s="683"/>
      <c r="R6" s="29" t="s">
        <v>4</v>
      </c>
      <c r="T6" s="29" t="s">
        <v>467</v>
      </c>
    </row>
    <row r="7" spans="1:21" s="387" customFormat="1" ht="25.5" customHeight="1" x14ac:dyDescent="0.2">
      <c r="A7" s="684" t="s">
        <v>6</v>
      </c>
      <c r="B7" s="685"/>
      <c r="C7" s="685"/>
      <c r="D7" s="686"/>
      <c r="E7" s="392">
        <f>F7+G7</f>
        <v>185822000</v>
      </c>
      <c r="F7" s="392">
        <f>F8+F113+F139+F202+F203+F218</f>
        <v>110858700</v>
      </c>
      <c r="G7" s="392">
        <f>G8+G113+G139+G202+G203+G218</f>
        <v>74963300</v>
      </c>
      <c r="H7" s="31"/>
      <c r="I7" s="31"/>
      <c r="J7" s="31"/>
      <c r="K7" s="78">
        <f t="shared" ref="K7:N7" si="0">K8+K113+K139+K202+K203+K218</f>
        <v>96399605.340000004</v>
      </c>
      <c r="L7" s="78">
        <f t="shared" si="0"/>
        <v>592894.65999999992</v>
      </c>
      <c r="M7" s="78">
        <f t="shared" si="0"/>
        <v>98716411.099999994</v>
      </c>
      <c r="N7" s="78">
        <f t="shared" si="0"/>
        <v>83257992.090000004</v>
      </c>
      <c r="O7" s="78">
        <f>M7*100/E7</f>
        <v>53.124178568737825</v>
      </c>
      <c r="P7" s="78">
        <f>P8+P113+P202+P203+P139</f>
        <v>4091252.15</v>
      </c>
      <c r="Q7" s="31"/>
      <c r="R7" s="393">
        <f>M50+M60+M76+M111+M127+M133+M141+M143+M203+M96</f>
        <v>65295582.189999998</v>
      </c>
      <c r="S7" s="394">
        <f>R7*100/F7</f>
        <v>58.899826707331044</v>
      </c>
      <c r="T7" s="393">
        <f>K80+K84+K93+K94+K112+K145+R7</f>
        <v>75984751.189999998</v>
      </c>
      <c r="U7" s="394">
        <f>T7*100/F7</f>
        <v>68.541982893539256</v>
      </c>
    </row>
    <row r="8" spans="1:21" s="387" customFormat="1" ht="46.5" customHeight="1" x14ac:dyDescent="0.35">
      <c r="A8" s="671" t="s">
        <v>7</v>
      </c>
      <c r="B8" s="671"/>
      <c r="C8" s="671"/>
      <c r="D8" s="671"/>
      <c r="E8" s="32">
        <f>F8+G8</f>
        <v>126238157.44</v>
      </c>
      <c r="F8" s="32">
        <f>F9+F41+F44+F71+F76+F96+F103</f>
        <v>91573419.439999998</v>
      </c>
      <c r="G8" s="32">
        <f>G9+G41+G44+G71+G76+G96+G103</f>
        <v>34664738</v>
      </c>
      <c r="H8" s="395"/>
      <c r="I8" s="396"/>
      <c r="J8" s="395"/>
      <c r="K8" s="32">
        <f>K9+K41+K44+K71+K76+K96+K103</f>
        <v>89471419.439999998</v>
      </c>
      <c r="L8" s="32">
        <f>L9+L41+L44+L71+L76+L96+L103</f>
        <v>0</v>
      </c>
      <c r="M8" s="79">
        <f>M9+M41+M44+M71+M76+M96+M103</f>
        <v>71345283.799999997</v>
      </c>
      <c r="N8" s="79">
        <f>N9+N41+N44+N71+N76+N96+N103</f>
        <v>48753326.490000002</v>
      </c>
      <c r="O8" s="397">
        <f>M8*100/E8</f>
        <v>56.516417259900081</v>
      </c>
      <c r="P8" s="79">
        <f>P9+P41+P44+P71+P76+P96+P103</f>
        <v>4090047.15</v>
      </c>
      <c r="Q8" s="32"/>
      <c r="R8" s="398" t="s">
        <v>5</v>
      </c>
    </row>
    <row r="9" spans="1:21" s="387" customFormat="1" ht="25.5" customHeight="1" x14ac:dyDescent="0.2">
      <c r="A9" s="33"/>
      <c r="B9" s="687" t="s">
        <v>112</v>
      </c>
      <c r="C9" s="687"/>
      <c r="D9" s="688"/>
      <c r="E9" s="399">
        <f>F9+G9</f>
        <v>8130160</v>
      </c>
      <c r="F9" s="399">
        <f>F10+F13+F35+F37+F39</f>
        <v>0</v>
      </c>
      <c r="G9" s="399">
        <f>G10+G13+G35+G37+G39</f>
        <v>8130160</v>
      </c>
      <c r="H9" s="400"/>
      <c r="I9" s="401"/>
      <c r="J9" s="400"/>
      <c r="K9" s="399">
        <f>K10+K13+K35+K37+K39</f>
        <v>0</v>
      </c>
      <c r="L9" s="399">
        <f>L10+L13+L35+L37+L39</f>
        <v>0</v>
      </c>
      <c r="M9" s="402">
        <f>M10+M13+M35+M37+M39</f>
        <v>7126030</v>
      </c>
      <c r="N9" s="402">
        <f>N10+N13+N35+N37+N39</f>
        <v>1004130</v>
      </c>
      <c r="O9" s="402">
        <f t="shared" ref="O9:O14" si="1">M9*100/G9</f>
        <v>87.649320554577031</v>
      </c>
      <c r="P9" s="402">
        <f>P10+P13+P35+P37+P39</f>
        <v>0</v>
      </c>
      <c r="Q9" s="34"/>
      <c r="R9" s="393">
        <f>M9+M41+M46+M47+M49+M53+M55+M67+M68+M71+M105+M108+M110+M114+M117+M126+M128+M132+M134+M135+M136+M148+M153+M174+M202</f>
        <v>33420828.91</v>
      </c>
      <c r="S9" s="394">
        <f>R9*100/G7</f>
        <v>44.58292112273606</v>
      </c>
    </row>
    <row r="10" spans="1:21" s="387" customFormat="1" x14ac:dyDescent="0.2">
      <c r="A10" s="689" t="s">
        <v>113</v>
      </c>
      <c r="B10" s="672"/>
      <c r="C10" s="672"/>
      <c r="D10" s="673"/>
      <c r="E10" s="35">
        <f>F10+G10</f>
        <v>1045700</v>
      </c>
      <c r="F10" s="35">
        <f>F11+F12</f>
        <v>0</v>
      </c>
      <c r="G10" s="35">
        <f>G11+G12</f>
        <v>1045700</v>
      </c>
      <c r="H10" s="403"/>
      <c r="I10" s="404"/>
      <c r="J10" s="403"/>
      <c r="K10" s="35">
        <f t="shared" ref="K10:P10" si="2">K11+K12</f>
        <v>0</v>
      </c>
      <c r="L10" s="35">
        <f t="shared" si="2"/>
        <v>0</v>
      </c>
      <c r="M10" s="90">
        <f t="shared" si="2"/>
        <v>1012740</v>
      </c>
      <c r="N10" s="90">
        <f t="shared" si="2"/>
        <v>32960</v>
      </c>
      <c r="O10" s="90">
        <f t="shared" si="1"/>
        <v>96.84804437219087</v>
      </c>
      <c r="P10" s="90">
        <f t="shared" si="2"/>
        <v>0</v>
      </c>
      <c r="Q10" s="34"/>
    </row>
    <row r="11" spans="1:21" s="387" customFormat="1" ht="42" x14ac:dyDescent="0.2">
      <c r="A11" s="36"/>
      <c r="B11" s="37"/>
      <c r="C11" s="383"/>
      <c r="D11" s="340" t="s">
        <v>457</v>
      </c>
      <c r="E11" s="38">
        <f>G11</f>
        <v>192000</v>
      </c>
      <c r="F11" s="38">
        <v>0</v>
      </c>
      <c r="G11" s="39">
        <f>220000-28000</f>
        <v>192000</v>
      </c>
      <c r="H11" s="405" t="s">
        <v>395</v>
      </c>
      <c r="I11" s="406"/>
      <c r="J11" s="407"/>
      <c r="K11" s="39"/>
      <c r="L11" s="39"/>
      <c r="M11" s="82">
        <f>135000+52000+5000</f>
        <v>192000</v>
      </c>
      <c r="N11" s="82">
        <f>G11-M11-P11</f>
        <v>0</v>
      </c>
      <c r="O11" s="82">
        <v>100</v>
      </c>
      <c r="P11" s="82">
        <v>0</v>
      </c>
      <c r="Q11" s="40" t="s">
        <v>8</v>
      </c>
      <c r="R11" s="393"/>
    </row>
    <row r="12" spans="1:21" s="387" customFormat="1" ht="42" x14ac:dyDescent="0.2">
      <c r="A12" s="41"/>
      <c r="B12" s="42"/>
      <c r="C12" s="42"/>
      <c r="D12" s="43" t="s">
        <v>458</v>
      </c>
      <c r="E12" s="38">
        <f>G12</f>
        <v>853700</v>
      </c>
      <c r="F12" s="47">
        <v>0</v>
      </c>
      <c r="G12" s="44">
        <v>853700</v>
      </c>
      <c r="H12" s="405" t="s">
        <v>355</v>
      </c>
      <c r="I12" s="408"/>
      <c r="J12" s="409"/>
      <c r="K12" s="44"/>
      <c r="L12" s="44"/>
      <c r="M12" s="83">
        <f>598240+42500+180000</f>
        <v>820740</v>
      </c>
      <c r="N12" s="82">
        <f>G12-M12</f>
        <v>32960</v>
      </c>
      <c r="O12" s="82">
        <f t="shared" si="1"/>
        <v>96.139158955136466</v>
      </c>
      <c r="P12" s="82"/>
      <c r="Q12" s="40" t="s">
        <v>9</v>
      </c>
      <c r="R12" s="393"/>
    </row>
    <row r="13" spans="1:21" s="387" customFormat="1" ht="23.25" customHeight="1" x14ac:dyDescent="0.2">
      <c r="A13" s="36"/>
      <c r="B13" s="37"/>
      <c r="C13" s="680" t="s">
        <v>114</v>
      </c>
      <c r="D13" s="681"/>
      <c r="E13" s="35">
        <f>F13+G13</f>
        <v>6754460</v>
      </c>
      <c r="F13" s="35">
        <f>SUM(F14:F34)</f>
        <v>0</v>
      </c>
      <c r="G13" s="35">
        <f>G14+G15+G16+G17+G18+G19+G21+G22+G23+G24+G25+G26+G27+G28+G29+G30+G31+G32+G33+G34</f>
        <v>6754460</v>
      </c>
      <c r="H13" s="403"/>
      <c r="I13" s="404"/>
      <c r="J13" s="403"/>
      <c r="K13" s="35">
        <f>SUM(K14:K34)</f>
        <v>0</v>
      </c>
      <c r="L13" s="35">
        <f>SUM(L14:L34)</f>
        <v>0</v>
      </c>
      <c r="M13" s="90">
        <f>M14+M15+M16+M17+M18+M19+M20+M28+M30+M29+M31+M32+M33+M34</f>
        <v>5819590</v>
      </c>
      <c r="N13" s="90">
        <f>N14+N15+N16+N17+N18+N19+N20+N28+N29+N30+N31+N32+N33+N34</f>
        <v>934870</v>
      </c>
      <c r="O13" s="90">
        <f>M13*100/G13</f>
        <v>86.159219241804678</v>
      </c>
      <c r="P13" s="90">
        <f>P14+P15+P16+P17+P18+P19+P21+P22+P23+P24+P25+P26+P27+P28+P29+P30+P31+P32+P33+P34</f>
        <v>0</v>
      </c>
      <c r="Q13" s="45"/>
    </row>
    <row r="14" spans="1:21" s="387" customFormat="1" x14ac:dyDescent="0.2">
      <c r="A14" s="36"/>
      <c r="B14" s="37"/>
      <c r="C14" s="37"/>
      <c r="D14" s="340" t="s">
        <v>115</v>
      </c>
      <c r="E14" s="38">
        <f>G14</f>
        <v>953800</v>
      </c>
      <c r="F14" s="38">
        <v>0</v>
      </c>
      <c r="G14" s="39">
        <v>953800</v>
      </c>
      <c r="H14" s="405" t="s">
        <v>395</v>
      </c>
      <c r="I14" s="406"/>
      <c r="J14" s="407"/>
      <c r="K14" s="39"/>
      <c r="L14" s="39"/>
      <c r="M14" s="82">
        <v>953800</v>
      </c>
      <c r="N14" s="82">
        <f>G14-M14</f>
        <v>0</v>
      </c>
      <c r="O14" s="82">
        <f t="shared" si="1"/>
        <v>100</v>
      </c>
      <c r="P14" s="82"/>
      <c r="Q14" s="386" t="s">
        <v>8</v>
      </c>
    </row>
    <row r="15" spans="1:21" s="387" customFormat="1" ht="63" x14ac:dyDescent="0.2">
      <c r="A15" s="33"/>
      <c r="B15" s="46"/>
      <c r="C15" s="46"/>
      <c r="D15" s="410" t="s">
        <v>262</v>
      </c>
      <c r="E15" s="38">
        <f>G15</f>
        <v>50000</v>
      </c>
      <c r="F15" s="38">
        <v>0</v>
      </c>
      <c r="G15" s="39">
        <v>50000</v>
      </c>
      <c r="H15" s="411" t="s">
        <v>395</v>
      </c>
      <c r="I15" s="406"/>
      <c r="J15" s="407"/>
      <c r="K15" s="39"/>
      <c r="L15" s="39"/>
      <c r="M15" s="82">
        <f>23600+300+4000+7100+15000</f>
        <v>50000</v>
      </c>
      <c r="N15" s="82">
        <f t="shared" ref="N15:N34" si="3">G15-M15</f>
        <v>0</v>
      </c>
      <c r="O15" s="82">
        <f t="shared" ref="O15:O34" si="4">M15*100/G15</f>
        <v>100</v>
      </c>
      <c r="P15" s="82"/>
      <c r="Q15" s="40" t="s">
        <v>10</v>
      </c>
    </row>
    <row r="16" spans="1:21" s="387" customFormat="1" x14ac:dyDescent="0.2">
      <c r="A16" s="36"/>
      <c r="B16" s="37"/>
      <c r="C16" s="37"/>
      <c r="D16" s="340" t="s">
        <v>116</v>
      </c>
      <c r="E16" s="38">
        <f t="shared" ref="E16:E34" si="5">G16</f>
        <v>944660</v>
      </c>
      <c r="F16" s="38">
        <v>0</v>
      </c>
      <c r="G16" s="39">
        <f>960000-15340</f>
        <v>944660</v>
      </c>
      <c r="H16" s="405" t="s">
        <v>395</v>
      </c>
      <c r="I16" s="406"/>
      <c r="J16" s="407"/>
      <c r="K16" s="39"/>
      <c r="L16" s="39"/>
      <c r="M16" s="82">
        <f>285000+285000+285000+19660+35000+35000</f>
        <v>944660</v>
      </c>
      <c r="N16" s="82">
        <f>G16-M16-P16</f>
        <v>0</v>
      </c>
      <c r="O16" s="82">
        <v>100</v>
      </c>
      <c r="P16" s="82"/>
      <c r="Q16" s="40" t="s">
        <v>11</v>
      </c>
    </row>
    <row r="17" spans="1:17" s="387" customFormat="1" x14ac:dyDescent="0.2">
      <c r="A17" s="33"/>
      <c r="B17" s="46"/>
      <c r="C17" s="46"/>
      <c r="D17" s="410" t="s">
        <v>117</v>
      </c>
      <c r="E17" s="38">
        <f t="shared" si="5"/>
        <v>220800</v>
      </c>
      <c r="F17" s="38">
        <v>0</v>
      </c>
      <c r="G17" s="39">
        <v>220800</v>
      </c>
      <c r="H17" s="405" t="s">
        <v>395</v>
      </c>
      <c r="I17" s="406"/>
      <c r="J17" s="407"/>
      <c r="K17" s="39"/>
      <c r="L17" s="39"/>
      <c r="M17" s="82">
        <f>53600+53600+53600+20000+20000+20000</f>
        <v>220800</v>
      </c>
      <c r="N17" s="82">
        <f>G17-M17</f>
        <v>0</v>
      </c>
      <c r="O17" s="82">
        <f t="shared" si="4"/>
        <v>100</v>
      </c>
      <c r="P17" s="82"/>
      <c r="Q17" s="40" t="s">
        <v>11</v>
      </c>
    </row>
    <row r="18" spans="1:17" s="387" customFormat="1" ht="37.5" x14ac:dyDescent="0.2">
      <c r="A18" s="36"/>
      <c r="B18" s="37"/>
      <c r="C18" s="37"/>
      <c r="D18" s="340" t="s">
        <v>118</v>
      </c>
      <c r="E18" s="38">
        <f t="shared" si="5"/>
        <v>500000</v>
      </c>
      <c r="F18" s="38">
        <v>0</v>
      </c>
      <c r="G18" s="39">
        <v>500000</v>
      </c>
      <c r="H18" s="405" t="s">
        <v>355</v>
      </c>
      <c r="I18" s="406"/>
      <c r="J18" s="407"/>
      <c r="K18" s="39"/>
      <c r="L18" s="39"/>
      <c r="M18" s="82">
        <f>66960+25000+25080+65520+86000+12500</f>
        <v>281060</v>
      </c>
      <c r="N18" s="82">
        <f t="shared" si="3"/>
        <v>218940</v>
      </c>
      <c r="O18" s="82">
        <f>M18*100/G18</f>
        <v>56.212000000000003</v>
      </c>
      <c r="P18" s="82"/>
      <c r="Q18" s="40" t="s">
        <v>11</v>
      </c>
    </row>
    <row r="19" spans="1:17" s="387" customFormat="1" ht="42" x14ac:dyDescent="0.2">
      <c r="A19" s="33"/>
      <c r="B19" s="46"/>
      <c r="C19" s="46"/>
      <c r="D19" s="410" t="s">
        <v>119</v>
      </c>
      <c r="E19" s="38">
        <f t="shared" si="5"/>
        <v>500000</v>
      </c>
      <c r="F19" s="412">
        <v>0</v>
      </c>
      <c r="G19" s="413">
        <v>500000</v>
      </c>
      <c r="H19" s="405" t="s">
        <v>355</v>
      </c>
      <c r="I19" s="414"/>
      <c r="J19" s="415"/>
      <c r="K19" s="413"/>
      <c r="L19" s="413"/>
      <c r="M19" s="85">
        <f>86200+39800+12000+18000+37500+18000</f>
        <v>211500</v>
      </c>
      <c r="N19" s="82">
        <f t="shared" si="3"/>
        <v>288500</v>
      </c>
      <c r="O19" s="82">
        <f t="shared" si="4"/>
        <v>42.3</v>
      </c>
      <c r="P19" s="82"/>
      <c r="Q19" s="45" t="s">
        <v>11</v>
      </c>
    </row>
    <row r="20" spans="1:17" s="387" customFormat="1" ht="37.5" x14ac:dyDescent="0.2">
      <c r="A20" s="36"/>
      <c r="B20" s="37"/>
      <c r="C20" s="37"/>
      <c r="D20" s="141" t="s">
        <v>120</v>
      </c>
      <c r="E20" s="38">
        <f t="shared" si="5"/>
        <v>681500</v>
      </c>
      <c r="F20" s="47">
        <v>0</v>
      </c>
      <c r="G20" s="47">
        <f>SUM(G21:G27)</f>
        <v>681500</v>
      </c>
      <c r="H20" s="405" t="s">
        <v>355</v>
      </c>
      <c r="I20" s="416"/>
      <c r="J20" s="417"/>
      <c r="K20" s="47"/>
      <c r="L20" s="47"/>
      <c r="M20" s="91">
        <f>M21+M22+M23+M24+M25+M26+M27</f>
        <v>585295</v>
      </c>
      <c r="N20" s="82">
        <f>G20-M20-P20</f>
        <v>96205</v>
      </c>
      <c r="O20" s="82">
        <f t="shared" si="4"/>
        <v>85.883345561261919</v>
      </c>
      <c r="P20" s="82">
        <f>SUM(P21:P27)</f>
        <v>0</v>
      </c>
      <c r="Q20" s="40" t="s">
        <v>11</v>
      </c>
    </row>
    <row r="21" spans="1:17" s="387" customFormat="1" ht="37.5" x14ac:dyDescent="0.2">
      <c r="A21" s="41"/>
      <c r="B21" s="42"/>
      <c r="C21" s="42"/>
      <c r="D21" s="418" t="s">
        <v>304</v>
      </c>
      <c r="E21" s="38">
        <f t="shared" si="5"/>
        <v>280000</v>
      </c>
      <c r="F21" s="38"/>
      <c r="G21" s="39">
        <v>280000</v>
      </c>
      <c r="H21" s="405" t="s">
        <v>355</v>
      </c>
      <c r="I21" s="406"/>
      <c r="J21" s="407"/>
      <c r="K21" s="39"/>
      <c r="L21" s="39"/>
      <c r="M21" s="82">
        <f>30000+7000+40000+40000+40000+15000+3000+15000+10000+15000</f>
        <v>215000</v>
      </c>
      <c r="N21" s="82">
        <f t="shared" si="3"/>
        <v>65000</v>
      </c>
      <c r="O21" s="82">
        <f t="shared" si="4"/>
        <v>76.785714285714292</v>
      </c>
      <c r="P21" s="82"/>
      <c r="Q21" s="386"/>
    </row>
    <row r="22" spans="1:17" s="387" customFormat="1" x14ac:dyDescent="0.2">
      <c r="A22" s="41"/>
      <c r="B22" s="42"/>
      <c r="C22" s="42"/>
      <c r="D22" s="418" t="s">
        <v>305</v>
      </c>
      <c r="E22" s="38">
        <f t="shared" si="5"/>
        <v>100000</v>
      </c>
      <c r="F22" s="38"/>
      <c r="G22" s="39">
        <v>100000</v>
      </c>
      <c r="H22" s="405" t="s">
        <v>395</v>
      </c>
      <c r="I22" s="406"/>
      <c r="J22" s="407"/>
      <c r="K22" s="39"/>
      <c r="L22" s="39"/>
      <c r="M22" s="82">
        <f>89800+10200</f>
        <v>100000</v>
      </c>
      <c r="N22" s="82">
        <f t="shared" si="3"/>
        <v>0</v>
      </c>
      <c r="O22" s="82">
        <f t="shared" si="4"/>
        <v>100</v>
      </c>
      <c r="P22" s="82"/>
      <c r="Q22" s="386"/>
    </row>
    <row r="23" spans="1:17" s="387" customFormat="1" ht="27.75" customHeight="1" x14ac:dyDescent="0.2">
      <c r="A23" s="41"/>
      <c r="B23" s="42"/>
      <c r="C23" s="42"/>
      <c r="D23" s="418" t="s">
        <v>306</v>
      </c>
      <c r="E23" s="38">
        <f t="shared" si="5"/>
        <v>100000</v>
      </c>
      <c r="F23" s="38"/>
      <c r="G23" s="39">
        <v>100000</v>
      </c>
      <c r="H23" s="405" t="s">
        <v>395</v>
      </c>
      <c r="I23" s="406"/>
      <c r="J23" s="407"/>
      <c r="K23" s="39"/>
      <c r="L23" s="39"/>
      <c r="M23" s="82">
        <f>46000+54000</f>
        <v>100000</v>
      </c>
      <c r="N23" s="82">
        <f t="shared" si="3"/>
        <v>0</v>
      </c>
      <c r="O23" s="82">
        <f t="shared" si="4"/>
        <v>100</v>
      </c>
      <c r="P23" s="82"/>
      <c r="Q23" s="386"/>
    </row>
    <row r="24" spans="1:17" s="387" customFormat="1" x14ac:dyDescent="0.2">
      <c r="A24" s="41"/>
      <c r="B24" s="42"/>
      <c r="C24" s="42"/>
      <c r="D24" s="418" t="s">
        <v>307</v>
      </c>
      <c r="E24" s="38">
        <f t="shared" si="5"/>
        <v>46500</v>
      </c>
      <c r="F24" s="38"/>
      <c r="G24" s="39">
        <f>50000-3500</f>
        <v>46500</v>
      </c>
      <c r="H24" s="405" t="s">
        <v>395</v>
      </c>
      <c r="I24" s="406"/>
      <c r="J24" s="407"/>
      <c r="K24" s="39"/>
      <c r="L24" s="39"/>
      <c r="M24" s="82">
        <f>17400+29100</f>
        <v>46500</v>
      </c>
      <c r="N24" s="82">
        <f>G24-M24-P24</f>
        <v>0</v>
      </c>
      <c r="O24" s="82">
        <v>100</v>
      </c>
      <c r="P24" s="82">
        <v>0</v>
      </c>
      <c r="Q24" s="386"/>
    </row>
    <row r="25" spans="1:17" s="387" customFormat="1" x14ac:dyDescent="0.2">
      <c r="A25" s="41"/>
      <c r="B25" s="42"/>
      <c r="C25" s="42"/>
      <c r="D25" s="418" t="s">
        <v>308</v>
      </c>
      <c r="E25" s="38">
        <f t="shared" si="5"/>
        <v>50000</v>
      </c>
      <c r="F25" s="38"/>
      <c r="G25" s="39">
        <v>50000</v>
      </c>
      <c r="H25" s="405" t="s">
        <v>395</v>
      </c>
      <c r="I25" s="406"/>
      <c r="J25" s="407"/>
      <c r="K25" s="39"/>
      <c r="L25" s="39"/>
      <c r="M25" s="82">
        <f>7800+36900+5300</f>
        <v>50000</v>
      </c>
      <c r="N25" s="82">
        <f t="shared" si="3"/>
        <v>0</v>
      </c>
      <c r="O25" s="82">
        <f t="shared" si="4"/>
        <v>100</v>
      </c>
      <c r="P25" s="82"/>
      <c r="Q25" s="386"/>
    </row>
    <row r="26" spans="1:17" s="387" customFormat="1" ht="37.5" x14ac:dyDescent="0.2">
      <c r="A26" s="41"/>
      <c r="B26" s="42"/>
      <c r="C26" s="42"/>
      <c r="D26" s="418" t="s">
        <v>309</v>
      </c>
      <c r="E26" s="38">
        <f t="shared" si="5"/>
        <v>50000</v>
      </c>
      <c r="F26" s="38"/>
      <c r="G26" s="39">
        <v>50000</v>
      </c>
      <c r="H26" s="405" t="s">
        <v>355</v>
      </c>
      <c r="I26" s="406"/>
      <c r="J26" s="407"/>
      <c r="K26" s="39"/>
      <c r="L26" s="39"/>
      <c r="M26" s="82">
        <f>11595+7200</f>
        <v>18795</v>
      </c>
      <c r="N26" s="82">
        <f t="shared" si="3"/>
        <v>31205</v>
      </c>
      <c r="O26" s="82">
        <f t="shared" si="4"/>
        <v>37.590000000000003</v>
      </c>
      <c r="P26" s="82"/>
      <c r="Q26" s="386"/>
    </row>
    <row r="27" spans="1:17" s="387" customFormat="1" ht="25.5" customHeight="1" x14ac:dyDescent="0.2">
      <c r="A27" s="41"/>
      <c r="B27" s="42"/>
      <c r="C27" s="42"/>
      <c r="D27" s="418" t="s">
        <v>310</v>
      </c>
      <c r="E27" s="38">
        <f t="shared" si="5"/>
        <v>55000</v>
      </c>
      <c r="F27" s="38"/>
      <c r="G27" s="39">
        <v>55000</v>
      </c>
      <c r="H27" s="405" t="s">
        <v>395</v>
      </c>
      <c r="I27" s="406"/>
      <c r="J27" s="407"/>
      <c r="K27" s="39"/>
      <c r="L27" s="39"/>
      <c r="M27" s="82">
        <v>55000</v>
      </c>
      <c r="N27" s="82">
        <f t="shared" si="3"/>
        <v>0</v>
      </c>
      <c r="O27" s="82">
        <f t="shared" si="4"/>
        <v>100</v>
      </c>
      <c r="P27" s="82"/>
      <c r="Q27" s="386"/>
    </row>
    <row r="28" spans="1:17" s="387" customFormat="1" ht="37.5" x14ac:dyDescent="0.2">
      <c r="A28" s="41"/>
      <c r="B28" s="42"/>
      <c r="C28" s="42"/>
      <c r="D28" s="43" t="s">
        <v>417</v>
      </c>
      <c r="E28" s="38">
        <f t="shared" si="5"/>
        <v>140000</v>
      </c>
      <c r="F28" s="38">
        <v>0</v>
      </c>
      <c r="G28" s="39">
        <v>140000</v>
      </c>
      <c r="H28" s="405" t="s">
        <v>355</v>
      </c>
      <c r="I28" s="406"/>
      <c r="J28" s="407"/>
      <c r="K28" s="39"/>
      <c r="L28" s="39"/>
      <c r="M28" s="82">
        <f>4000+4000+9000+11000+4000+7000+4000+10000+4000+6000+20000+20000+13000+10000</f>
        <v>126000</v>
      </c>
      <c r="N28" s="82">
        <f t="shared" si="3"/>
        <v>14000</v>
      </c>
      <c r="O28" s="82">
        <f t="shared" si="4"/>
        <v>90</v>
      </c>
      <c r="P28" s="82"/>
      <c r="Q28" s="386" t="s">
        <v>11</v>
      </c>
    </row>
    <row r="29" spans="1:17" s="387" customFormat="1" x14ac:dyDescent="0.2">
      <c r="A29" s="36"/>
      <c r="B29" s="37"/>
      <c r="C29" s="37"/>
      <c r="D29" s="340" t="s">
        <v>121</v>
      </c>
      <c r="E29" s="38">
        <f t="shared" si="5"/>
        <v>900000</v>
      </c>
      <c r="F29" s="38">
        <v>0</v>
      </c>
      <c r="G29" s="39">
        <v>900000</v>
      </c>
      <c r="H29" s="405" t="s">
        <v>395</v>
      </c>
      <c r="I29" s="406"/>
      <c r="J29" s="407"/>
      <c r="K29" s="39"/>
      <c r="L29" s="39"/>
      <c r="M29" s="82">
        <f>262650+37350+262650+37350+262650+37350</f>
        <v>900000</v>
      </c>
      <c r="N29" s="82">
        <f t="shared" si="3"/>
        <v>0</v>
      </c>
      <c r="O29" s="82">
        <f t="shared" si="4"/>
        <v>100</v>
      </c>
      <c r="P29" s="82"/>
      <c r="Q29" s="40" t="s">
        <v>11</v>
      </c>
    </row>
    <row r="30" spans="1:17" s="387" customFormat="1" ht="42" x14ac:dyDescent="0.2">
      <c r="A30" s="36"/>
      <c r="B30" s="37"/>
      <c r="C30" s="37"/>
      <c r="D30" s="340" t="s">
        <v>459</v>
      </c>
      <c r="E30" s="38">
        <f t="shared" si="5"/>
        <v>50000</v>
      </c>
      <c r="F30" s="47">
        <v>0</v>
      </c>
      <c r="G30" s="44">
        <v>50000</v>
      </c>
      <c r="H30" s="405" t="s">
        <v>395</v>
      </c>
      <c r="I30" s="408"/>
      <c r="J30" s="409"/>
      <c r="K30" s="44"/>
      <c r="L30" s="44"/>
      <c r="M30" s="83">
        <f>22100+27900</f>
        <v>50000</v>
      </c>
      <c r="N30" s="82">
        <f t="shared" si="3"/>
        <v>0</v>
      </c>
      <c r="O30" s="82">
        <f t="shared" si="4"/>
        <v>100</v>
      </c>
      <c r="P30" s="82"/>
      <c r="Q30" s="40" t="s">
        <v>11</v>
      </c>
    </row>
    <row r="31" spans="1:17" s="387" customFormat="1" ht="42" x14ac:dyDescent="0.2">
      <c r="A31" s="36"/>
      <c r="B31" s="37"/>
      <c r="C31" s="37"/>
      <c r="D31" s="340" t="s">
        <v>123</v>
      </c>
      <c r="E31" s="47">
        <f t="shared" si="5"/>
        <v>150000</v>
      </c>
      <c r="F31" s="47">
        <v>0</v>
      </c>
      <c r="G31" s="44">
        <v>150000</v>
      </c>
      <c r="H31" s="419" t="s">
        <v>355</v>
      </c>
      <c r="I31" s="408"/>
      <c r="J31" s="409"/>
      <c r="K31" s="44"/>
      <c r="L31" s="44"/>
      <c r="M31" s="83">
        <f>47800+3375+96600</f>
        <v>147775</v>
      </c>
      <c r="N31" s="83">
        <f t="shared" si="3"/>
        <v>2225</v>
      </c>
      <c r="O31" s="83">
        <f t="shared" si="4"/>
        <v>98.516666666666666</v>
      </c>
      <c r="P31" s="83"/>
      <c r="Q31" s="40" t="s">
        <v>11</v>
      </c>
    </row>
    <row r="32" spans="1:17" s="387" customFormat="1" ht="42" x14ac:dyDescent="0.2">
      <c r="A32" s="36"/>
      <c r="B32" s="37"/>
      <c r="C32" s="37"/>
      <c r="D32" s="340" t="s">
        <v>122</v>
      </c>
      <c r="E32" s="47">
        <f t="shared" si="5"/>
        <v>360000</v>
      </c>
      <c r="F32" s="47">
        <v>0</v>
      </c>
      <c r="G32" s="44">
        <v>360000</v>
      </c>
      <c r="H32" s="405" t="s">
        <v>395</v>
      </c>
      <c r="I32" s="408"/>
      <c r="J32" s="409"/>
      <c r="K32" s="44"/>
      <c r="L32" s="44"/>
      <c r="M32" s="83">
        <f>300550+59450</f>
        <v>360000</v>
      </c>
      <c r="N32" s="83">
        <f t="shared" si="3"/>
        <v>0</v>
      </c>
      <c r="O32" s="83">
        <f t="shared" si="4"/>
        <v>100</v>
      </c>
      <c r="P32" s="83"/>
      <c r="Q32" s="40" t="s">
        <v>11</v>
      </c>
    </row>
    <row r="33" spans="1:17" s="387" customFormat="1" ht="42" x14ac:dyDescent="0.2">
      <c r="A33" s="36"/>
      <c r="B33" s="37"/>
      <c r="C33" s="37"/>
      <c r="D33" s="340" t="s">
        <v>460</v>
      </c>
      <c r="E33" s="38">
        <f t="shared" si="5"/>
        <v>1020000</v>
      </c>
      <c r="F33" s="38">
        <v>0</v>
      </c>
      <c r="G33" s="44">
        <v>1020000</v>
      </c>
      <c r="H33" s="405" t="s">
        <v>355</v>
      </c>
      <c r="I33" s="408"/>
      <c r="J33" s="409"/>
      <c r="K33" s="44"/>
      <c r="L33" s="44"/>
      <c r="M33" s="83">
        <f>39000+4000+4000+12000+16000+86000+12000+12000+35000+84000+8000+24000+11000+50000+16000+39000+4000+52000+60000+3000+10000+16000+4000+44000+36000+4000+8000+12000</f>
        <v>705000</v>
      </c>
      <c r="N33" s="82">
        <f t="shared" si="3"/>
        <v>315000</v>
      </c>
      <c r="O33" s="82">
        <f t="shared" si="4"/>
        <v>69.117647058823536</v>
      </c>
      <c r="P33" s="82"/>
      <c r="Q33" s="40" t="s">
        <v>11</v>
      </c>
    </row>
    <row r="34" spans="1:17" s="387" customFormat="1" ht="45.75" customHeight="1" x14ac:dyDescent="0.2">
      <c r="A34" s="33"/>
      <c r="B34" s="46"/>
      <c r="C34" s="46"/>
      <c r="D34" s="43" t="s">
        <v>461</v>
      </c>
      <c r="E34" s="38">
        <f t="shared" si="5"/>
        <v>283700</v>
      </c>
      <c r="F34" s="38">
        <v>0</v>
      </c>
      <c r="G34" s="44">
        <v>283700</v>
      </c>
      <c r="H34" s="405" t="s">
        <v>395</v>
      </c>
      <c r="I34" s="408"/>
      <c r="J34" s="409"/>
      <c r="K34" s="44"/>
      <c r="L34" s="44"/>
      <c r="M34" s="83">
        <f>178800+28100+45000+31800</f>
        <v>283700</v>
      </c>
      <c r="N34" s="82">
        <f t="shared" si="3"/>
        <v>0</v>
      </c>
      <c r="O34" s="82">
        <f t="shared" si="4"/>
        <v>100</v>
      </c>
      <c r="P34" s="82"/>
      <c r="Q34" s="40" t="s">
        <v>11</v>
      </c>
    </row>
    <row r="35" spans="1:17" s="387" customFormat="1" x14ac:dyDescent="0.2">
      <c r="A35" s="48"/>
      <c r="B35" s="49"/>
      <c r="C35" s="678" t="s">
        <v>124</v>
      </c>
      <c r="D35" s="679"/>
      <c r="E35" s="35">
        <f>F35+G35</f>
        <v>65000</v>
      </c>
      <c r="F35" s="35">
        <f>F36</f>
        <v>0</v>
      </c>
      <c r="G35" s="35">
        <f>G36</f>
        <v>65000</v>
      </c>
      <c r="H35" s="403"/>
      <c r="I35" s="404"/>
      <c r="J35" s="403"/>
      <c r="K35" s="35">
        <f t="shared" ref="K35:P35" si="6">K36</f>
        <v>0</v>
      </c>
      <c r="L35" s="35">
        <f t="shared" si="6"/>
        <v>0</v>
      </c>
      <c r="M35" s="90">
        <f t="shared" si="6"/>
        <v>65000</v>
      </c>
      <c r="N35" s="90">
        <f t="shared" si="6"/>
        <v>0</v>
      </c>
      <c r="O35" s="90">
        <v>100</v>
      </c>
      <c r="P35" s="90">
        <f t="shared" si="6"/>
        <v>0</v>
      </c>
      <c r="Q35" s="45"/>
    </row>
    <row r="36" spans="1:17" s="387" customFormat="1" ht="27.75" customHeight="1" x14ac:dyDescent="0.2">
      <c r="A36" s="36"/>
      <c r="B36" s="37"/>
      <c r="C36" s="383"/>
      <c r="D36" s="340" t="s">
        <v>127</v>
      </c>
      <c r="E36" s="47">
        <f>G36</f>
        <v>65000</v>
      </c>
      <c r="F36" s="47">
        <v>0</v>
      </c>
      <c r="G36" s="44">
        <f>80000-15000</f>
        <v>65000</v>
      </c>
      <c r="H36" s="405" t="s">
        <v>395</v>
      </c>
      <c r="I36" s="408"/>
      <c r="J36" s="409"/>
      <c r="K36" s="44"/>
      <c r="L36" s="44"/>
      <c r="M36" s="83">
        <f>32200+4000+28800</f>
        <v>65000</v>
      </c>
      <c r="N36" s="83">
        <f>G36-M36-P36</f>
        <v>0</v>
      </c>
      <c r="O36" s="83">
        <v>100</v>
      </c>
      <c r="P36" s="83">
        <v>0</v>
      </c>
      <c r="Q36" s="40" t="s">
        <v>8</v>
      </c>
    </row>
    <row r="37" spans="1:17" s="387" customFormat="1" x14ac:dyDescent="0.2">
      <c r="A37" s="41"/>
      <c r="B37" s="42"/>
      <c r="C37" s="674" t="s">
        <v>125</v>
      </c>
      <c r="D37" s="675"/>
      <c r="E37" s="35">
        <f>F37+G37</f>
        <v>65000</v>
      </c>
      <c r="F37" s="35">
        <f>F38</f>
        <v>0</v>
      </c>
      <c r="G37" s="35">
        <f>G38</f>
        <v>65000</v>
      </c>
      <c r="H37" s="403"/>
      <c r="I37" s="404"/>
      <c r="J37" s="403"/>
      <c r="K37" s="35">
        <f t="shared" ref="K37:P37" si="7">K38</f>
        <v>0</v>
      </c>
      <c r="L37" s="35">
        <f t="shared" si="7"/>
        <v>0</v>
      </c>
      <c r="M37" s="90">
        <f t="shared" si="7"/>
        <v>32200</v>
      </c>
      <c r="N37" s="90">
        <f t="shared" si="7"/>
        <v>32800</v>
      </c>
      <c r="O37" s="90">
        <f t="shared" ref="O37:O43" si="8">M37*100/G37</f>
        <v>49.53846153846154</v>
      </c>
      <c r="P37" s="90">
        <f t="shared" si="7"/>
        <v>0</v>
      </c>
      <c r="Q37" s="45"/>
    </row>
    <row r="38" spans="1:17" s="387" customFormat="1" ht="37.5" x14ac:dyDescent="0.2">
      <c r="A38" s="36"/>
      <c r="B38" s="37"/>
      <c r="C38" s="383"/>
      <c r="D38" s="340" t="s">
        <v>128</v>
      </c>
      <c r="E38" s="47">
        <f>G38</f>
        <v>65000</v>
      </c>
      <c r="F38" s="47">
        <v>0</v>
      </c>
      <c r="G38" s="44">
        <f>80000-15000</f>
        <v>65000</v>
      </c>
      <c r="H38" s="405" t="s">
        <v>355</v>
      </c>
      <c r="I38" s="408"/>
      <c r="J38" s="409"/>
      <c r="K38" s="44"/>
      <c r="L38" s="44"/>
      <c r="M38" s="83">
        <f>32200</f>
        <v>32200</v>
      </c>
      <c r="N38" s="83">
        <f>G38-M38-P38</f>
        <v>32800</v>
      </c>
      <c r="O38" s="83">
        <f t="shared" si="8"/>
        <v>49.53846153846154</v>
      </c>
      <c r="P38" s="83">
        <v>0</v>
      </c>
      <c r="Q38" s="40" t="s">
        <v>8</v>
      </c>
    </row>
    <row r="39" spans="1:17" s="387" customFormat="1" x14ac:dyDescent="0.2">
      <c r="A39" s="48"/>
      <c r="B39" s="49"/>
      <c r="C39" s="678" t="s">
        <v>126</v>
      </c>
      <c r="D39" s="679"/>
      <c r="E39" s="35">
        <f>F39+G39</f>
        <v>200000</v>
      </c>
      <c r="F39" s="35">
        <f>F40</f>
        <v>0</v>
      </c>
      <c r="G39" s="35">
        <f>G40</f>
        <v>200000</v>
      </c>
      <c r="H39" s="403"/>
      <c r="I39" s="404"/>
      <c r="J39" s="403"/>
      <c r="K39" s="35">
        <f t="shared" ref="K39:P39" si="9">K40</f>
        <v>0</v>
      </c>
      <c r="L39" s="35">
        <f t="shared" si="9"/>
        <v>0</v>
      </c>
      <c r="M39" s="90">
        <f t="shared" si="9"/>
        <v>196500</v>
      </c>
      <c r="N39" s="90">
        <f t="shared" si="9"/>
        <v>3500</v>
      </c>
      <c r="O39" s="90">
        <f t="shared" si="8"/>
        <v>98.25</v>
      </c>
      <c r="P39" s="90">
        <f t="shared" si="9"/>
        <v>0</v>
      </c>
      <c r="Q39" s="45"/>
    </row>
    <row r="40" spans="1:17" s="387" customFormat="1" ht="37.5" x14ac:dyDescent="0.2">
      <c r="A40" s="36"/>
      <c r="B40" s="37"/>
      <c r="C40" s="383"/>
      <c r="D40" s="340" t="s">
        <v>129</v>
      </c>
      <c r="E40" s="47">
        <f>G40</f>
        <v>200000</v>
      </c>
      <c r="F40" s="47">
        <v>0</v>
      </c>
      <c r="G40" s="44">
        <v>200000</v>
      </c>
      <c r="H40" s="405" t="s">
        <v>355</v>
      </c>
      <c r="I40" s="408"/>
      <c r="J40" s="409"/>
      <c r="K40" s="44"/>
      <c r="L40" s="44"/>
      <c r="M40" s="83">
        <f>25000+10000+6000+25000+6000+7000+15000+25000+25000+4000+3000+4000+8000+4000+7000+2500+8000+10000+2000</f>
        <v>196500</v>
      </c>
      <c r="N40" s="83">
        <f>G40-M40</f>
        <v>3500</v>
      </c>
      <c r="O40" s="83">
        <f t="shared" si="8"/>
        <v>98.25</v>
      </c>
      <c r="P40" s="83"/>
      <c r="Q40" s="40" t="s">
        <v>11</v>
      </c>
    </row>
    <row r="41" spans="1:17" s="387" customFormat="1" ht="28.5" customHeight="1" x14ac:dyDescent="0.2">
      <c r="A41" s="41"/>
      <c r="B41" s="674" t="s">
        <v>130</v>
      </c>
      <c r="C41" s="674"/>
      <c r="D41" s="675"/>
      <c r="E41" s="399">
        <f>F41+G41</f>
        <v>220000</v>
      </c>
      <c r="F41" s="399">
        <f>F42</f>
        <v>0</v>
      </c>
      <c r="G41" s="399">
        <f>G42</f>
        <v>220000</v>
      </c>
      <c r="H41" s="400"/>
      <c r="I41" s="401"/>
      <c r="J41" s="400"/>
      <c r="K41" s="399">
        <f t="shared" ref="K41:P42" si="10">K42</f>
        <v>0</v>
      </c>
      <c r="L41" s="399">
        <f t="shared" si="10"/>
        <v>0</v>
      </c>
      <c r="M41" s="402">
        <f t="shared" si="10"/>
        <v>220000</v>
      </c>
      <c r="N41" s="402">
        <f t="shared" si="10"/>
        <v>0</v>
      </c>
      <c r="O41" s="402">
        <f t="shared" si="8"/>
        <v>100</v>
      </c>
      <c r="P41" s="402">
        <f t="shared" si="10"/>
        <v>0</v>
      </c>
      <c r="Q41" s="50"/>
    </row>
    <row r="42" spans="1:17" s="387" customFormat="1" ht="40.5" customHeight="1" x14ac:dyDescent="0.2">
      <c r="A42" s="36"/>
      <c r="B42" s="37"/>
      <c r="C42" s="672" t="s">
        <v>131</v>
      </c>
      <c r="D42" s="673"/>
      <c r="E42" s="420">
        <f>F42+G42</f>
        <v>220000</v>
      </c>
      <c r="F42" s="420">
        <f>F43</f>
        <v>0</v>
      </c>
      <c r="G42" s="421">
        <f>G43</f>
        <v>220000</v>
      </c>
      <c r="H42" s="422"/>
      <c r="I42" s="423"/>
      <c r="J42" s="422"/>
      <c r="K42" s="421">
        <f t="shared" si="10"/>
        <v>0</v>
      </c>
      <c r="L42" s="421">
        <f t="shared" si="10"/>
        <v>0</v>
      </c>
      <c r="M42" s="424">
        <f t="shared" si="10"/>
        <v>220000</v>
      </c>
      <c r="N42" s="424">
        <f t="shared" si="10"/>
        <v>0</v>
      </c>
      <c r="O42" s="424">
        <f t="shared" si="8"/>
        <v>100</v>
      </c>
      <c r="P42" s="424">
        <f t="shared" si="10"/>
        <v>0</v>
      </c>
      <c r="Q42" s="45"/>
    </row>
    <row r="43" spans="1:17" ht="31.5" x14ac:dyDescent="0.2">
      <c r="A43" s="51"/>
      <c r="B43" s="52"/>
      <c r="C43" s="52"/>
      <c r="D43" s="43" t="s">
        <v>132</v>
      </c>
      <c r="E43" s="47">
        <f>G43</f>
        <v>220000</v>
      </c>
      <c r="F43" s="425">
        <v>0</v>
      </c>
      <c r="G43" s="39">
        <v>220000</v>
      </c>
      <c r="H43" s="405" t="s">
        <v>395</v>
      </c>
      <c r="I43" s="406"/>
      <c r="J43" s="407"/>
      <c r="K43" s="39"/>
      <c r="L43" s="39"/>
      <c r="M43" s="82">
        <f>116000+35000+1500+8000+35000+20000+1500+3000</f>
        <v>220000</v>
      </c>
      <c r="N43" s="82">
        <f>G43-M43</f>
        <v>0</v>
      </c>
      <c r="O43" s="82">
        <f t="shared" si="8"/>
        <v>100</v>
      </c>
      <c r="P43" s="82"/>
      <c r="Q43" s="40" t="s">
        <v>12</v>
      </c>
    </row>
    <row r="44" spans="1:17" s="387" customFormat="1" ht="39.75" customHeight="1" x14ac:dyDescent="0.2">
      <c r="A44" s="41"/>
      <c r="B44" s="674" t="s">
        <v>133</v>
      </c>
      <c r="C44" s="674"/>
      <c r="D44" s="675"/>
      <c r="E44" s="138">
        <f>F44+G44</f>
        <v>28552098</v>
      </c>
      <c r="F44" s="138">
        <f>F45+F68</f>
        <v>6786000</v>
      </c>
      <c r="G44" s="138">
        <f>G45+G68</f>
        <v>21766098</v>
      </c>
      <c r="H44" s="426"/>
      <c r="I44" s="427"/>
      <c r="J44" s="426"/>
      <c r="K44" s="138">
        <f>K45+K68</f>
        <v>4684000</v>
      </c>
      <c r="L44" s="138">
        <f>L45+L68</f>
        <v>0</v>
      </c>
      <c r="M44" s="428">
        <f>M45+M68</f>
        <v>3045062.71</v>
      </c>
      <c r="N44" s="428">
        <f>N45+N68</f>
        <v>23457535.289999999</v>
      </c>
      <c r="O44" s="428">
        <f>M44*100/E44</f>
        <v>10.664935060113621</v>
      </c>
      <c r="P44" s="428">
        <f>P45+P68</f>
        <v>0</v>
      </c>
      <c r="Q44" s="45"/>
    </row>
    <row r="45" spans="1:17" s="387" customFormat="1" ht="25.5" customHeight="1" x14ac:dyDescent="0.2">
      <c r="A45" s="36"/>
      <c r="B45" s="37"/>
      <c r="C45" s="672" t="s">
        <v>134</v>
      </c>
      <c r="D45" s="673"/>
      <c r="E45" s="35">
        <f>F45+G45</f>
        <v>14322098</v>
      </c>
      <c r="F45" s="35">
        <f>F46+F47+F48+F53+F54+F67</f>
        <v>6786000</v>
      </c>
      <c r="G45" s="35">
        <f>G46+G47+G48+G53+G54+G67</f>
        <v>7536098</v>
      </c>
      <c r="H45" s="403"/>
      <c r="I45" s="404"/>
      <c r="J45" s="403"/>
      <c r="K45" s="35">
        <f>K46+K47+K48+K53+K54+K67</f>
        <v>4684000</v>
      </c>
      <c r="L45" s="35">
        <f>L46+L47+L48+L53+L54+L67</f>
        <v>0</v>
      </c>
      <c r="M45" s="90">
        <f>M46+M47+M48+M53+M54+M67</f>
        <v>2736902.71</v>
      </c>
      <c r="N45" s="90">
        <f>N46+N47+N48+N53+N54+N67</f>
        <v>9535695.2899999991</v>
      </c>
      <c r="O45" s="90">
        <f>M45*100/E45</f>
        <v>19.109649368409574</v>
      </c>
      <c r="P45" s="90">
        <f>P46+P47+P48+P53+P54+P67</f>
        <v>0</v>
      </c>
      <c r="Q45" s="45"/>
    </row>
    <row r="46" spans="1:17" ht="63" x14ac:dyDescent="0.2">
      <c r="A46" s="53"/>
      <c r="B46" s="54"/>
      <c r="C46" s="54"/>
      <c r="D46" s="340" t="s">
        <v>135</v>
      </c>
      <c r="E46" s="47">
        <f>G46</f>
        <v>90800</v>
      </c>
      <c r="F46" s="47">
        <v>0</v>
      </c>
      <c r="G46" s="44">
        <f>100000-9200</f>
        <v>90800</v>
      </c>
      <c r="H46" s="405" t="s">
        <v>395</v>
      </c>
      <c r="I46" s="408"/>
      <c r="J46" s="409"/>
      <c r="K46" s="44"/>
      <c r="L46" s="44"/>
      <c r="M46" s="83">
        <f>35500+55300</f>
        <v>90800</v>
      </c>
      <c r="N46" s="83">
        <f>G46-M46-P46</f>
        <v>0</v>
      </c>
      <c r="O46" s="83">
        <v>100</v>
      </c>
      <c r="P46" s="83">
        <v>0</v>
      </c>
      <c r="Q46" s="40" t="s">
        <v>13</v>
      </c>
    </row>
    <row r="47" spans="1:17" ht="47.25" x14ac:dyDescent="0.2">
      <c r="A47" s="53"/>
      <c r="B47" s="54"/>
      <c r="C47" s="54"/>
      <c r="D47" s="340" t="s">
        <v>136</v>
      </c>
      <c r="E47" s="47">
        <f>G47</f>
        <v>286083</v>
      </c>
      <c r="F47" s="47">
        <v>0</v>
      </c>
      <c r="G47" s="44">
        <f>300000-13917</f>
        <v>286083</v>
      </c>
      <c r="H47" s="405" t="s">
        <v>395</v>
      </c>
      <c r="I47" s="408"/>
      <c r="J47" s="409"/>
      <c r="K47" s="44"/>
      <c r="L47" s="44"/>
      <c r="M47" s="83">
        <f>27950+540+540+27940+90500+1260+28000+28000+1260+1000+24955+540+844+844+540+21730+540+27000+2100</f>
        <v>286083</v>
      </c>
      <c r="N47" s="83">
        <f>G47-M47-P47</f>
        <v>0</v>
      </c>
      <c r="O47" s="83">
        <v>100</v>
      </c>
      <c r="P47" s="83">
        <v>0</v>
      </c>
      <c r="Q47" s="40" t="s">
        <v>483</v>
      </c>
    </row>
    <row r="48" spans="1:17" ht="63" x14ac:dyDescent="0.2">
      <c r="A48" s="53"/>
      <c r="B48" s="54"/>
      <c r="C48" s="54"/>
      <c r="D48" s="340" t="s">
        <v>346</v>
      </c>
      <c r="E48" s="47">
        <f>F48+G48</f>
        <v>7617915</v>
      </c>
      <c r="F48" s="47">
        <f>F50+F49</f>
        <v>5000000</v>
      </c>
      <c r="G48" s="47">
        <f>G49+G50</f>
        <v>2617915</v>
      </c>
      <c r="H48" s="405" t="s">
        <v>355</v>
      </c>
      <c r="I48" s="416"/>
      <c r="J48" s="417"/>
      <c r="K48" s="47">
        <f t="shared" ref="K48:N48" si="11">K49+K50</f>
        <v>3000000</v>
      </c>
      <c r="L48" s="47">
        <f t="shared" si="11"/>
        <v>0</v>
      </c>
      <c r="M48" s="91">
        <f t="shared" si="11"/>
        <v>407760</v>
      </c>
      <c r="N48" s="91">
        <f t="shared" si="11"/>
        <v>5210155</v>
      </c>
      <c r="O48" s="83">
        <f t="shared" ref="O48" si="12">M48*100/E48</f>
        <v>5.3526457042379709</v>
      </c>
      <c r="P48" s="83"/>
      <c r="Q48" s="40" t="s">
        <v>14</v>
      </c>
    </row>
    <row r="49" spans="1:17" ht="20.25" customHeight="1" x14ac:dyDescent="0.2">
      <c r="A49" s="53"/>
      <c r="B49" s="54"/>
      <c r="C49" s="54"/>
      <c r="D49" s="340" t="s">
        <v>180</v>
      </c>
      <c r="E49" s="47"/>
      <c r="F49" s="429"/>
      <c r="G49" s="47">
        <f>3003600-385685</f>
        <v>2617915</v>
      </c>
      <c r="H49" s="417"/>
      <c r="I49" s="416"/>
      <c r="J49" s="417"/>
      <c r="K49" s="47"/>
      <c r="L49" s="47"/>
      <c r="M49" s="91">
        <f>297160+95000+15600</f>
        <v>407760</v>
      </c>
      <c r="N49" s="91">
        <f>G49-M49-P49</f>
        <v>2210155</v>
      </c>
      <c r="O49" s="91">
        <f>M49*100/G49</f>
        <v>15.575753987428927</v>
      </c>
      <c r="P49" s="91">
        <v>0</v>
      </c>
      <c r="Q49" s="40"/>
    </row>
    <row r="50" spans="1:17" ht="23.25" customHeight="1" x14ac:dyDescent="0.2">
      <c r="A50" s="53"/>
      <c r="B50" s="54"/>
      <c r="C50" s="54"/>
      <c r="D50" s="340" t="s">
        <v>259</v>
      </c>
      <c r="E50" s="47"/>
      <c r="F50" s="429">
        <f>F51+F52</f>
        <v>5000000</v>
      </c>
      <c r="G50" s="44">
        <f>G51+G52</f>
        <v>0</v>
      </c>
      <c r="H50" s="409"/>
      <c r="I50" s="408"/>
      <c r="J50" s="409"/>
      <c r="K50" s="44">
        <f t="shared" ref="K50:N50" si="13">K51+K52</f>
        <v>3000000</v>
      </c>
      <c r="L50" s="44">
        <f t="shared" si="13"/>
        <v>0</v>
      </c>
      <c r="M50" s="83">
        <f t="shared" si="13"/>
        <v>0</v>
      </c>
      <c r="N50" s="91">
        <f t="shared" si="13"/>
        <v>3000000</v>
      </c>
      <c r="O50" s="91">
        <v>0</v>
      </c>
      <c r="P50" s="91"/>
      <c r="Q50" s="40"/>
    </row>
    <row r="51" spans="1:17" ht="56.25" x14ac:dyDescent="0.2">
      <c r="A51" s="53"/>
      <c r="B51" s="54"/>
      <c r="C51" s="54"/>
      <c r="D51" s="340" t="s">
        <v>15</v>
      </c>
      <c r="E51" s="47">
        <f>F51</f>
        <v>3000000</v>
      </c>
      <c r="F51" s="429">
        <f>3331600-331600</f>
        <v>3000000</v>
      </c>
      <c r="G51" s="47">
        <v>0</v>
      </c>
      <c r="H51" s="288" t="s">
        <v>368</v>
      </c>
      <c r="I51" s="430" t="s">
        <v>449</v>
      </c>
      <c r="J51" s="336" t="s">
        <v>448</v>
      </c>
      <c r="K51" s="47">
        <v>3000000</v>
      </c>
      <c r="L51" s="47">
        <f>F51-K51</f>
        <v>0</v>
      </c>
      <c r="M51" s="91"/>
      <c r="N51" s="91">
        <f>K51-M51</f>
        <v>3000000</v>
      </c>
      <c r="O51" s="91">
        <f>M51*100/K51</f>
        <v>0</v>
      </c>
      <c r="P51" s="91"/>
      <c r="Q51" s="313" t="s">
        <v>14</v>
      </c>
    </row>
    <row r="52" spans="1:17" ht="56.25" x14ac:dyDescent="0.2">
      <c r="A52" s="53"/>
      <c r="B52" s="54"/>
      <c r="C52" s="54"/>
      <c r="D52" s="340" t="s">
        <v>294</v>
      </c>
      <c r="E52" s="47">
        <f>F52</f>
        <v>2000000</v>
      </c>
      <c r="F52" s="429">
        <v>2000000</v>
      </c>
      <c r="G52" s="47">
        <v>0</v>
      </c>
      <c r="H52" s="336" t="s">
        <v>604</v>
      </c>
      <c r="I52" s="263"/>
      <c r="J52" s="288"/>
      <c r="K52" s="47"/>
      <c r="L52" s="47"/>
      <c r="M52" s="91"/>
      <c r="N52" s="91">
        <f>K52-M52</f>
        <v>0</v>
      </c>
      <c r="O52" s="91">
        <v>0</v>
      </c>
      <c r="P52" s="91"/>
      <c r="Q52" s="313" t="s">
        <v>14</v>
      </c>
    </row>
    <row r="53" spans="1:17" ht="84" x14ac:dyDescent="0.2">
      <c r="A53" s="53"/>
      <c r="B53" s="54"/>
      <c r="C53" s="54"/>
      <c r="D53" s="340" t="s">
        <v>263</v>
      </c>
      <c r="E53" s="47">
        <f>G53</f>
        <v>901000</v>
      </c>
      <c r="F53" s="429">
        <v>0</v>
      </c>
      <c r="G53" s="47">
        <v>901000</v>
      </c>
      <c r="H53" s="405" t="s">
        <v>355</v>
      </c>
      <c r="I53" s="416"/>
      <c r="J53" s="417"/>
      <c r="K53" s="47"/>
      <c r="L53" s="47"/>
      <c r="M53" s="91">
        <f>21000+100000+77420+7011.9</f>
        <v>205431.9</v>
      </c>
      <c r="N53" s="91">
        <f>G53-M53</f>
        <v>695568.1</v>
      </c>
      <c r="O53" s="91">
        <f>M53*100/G53</f>
        <v>22.800432852386237</v>
      </c>
      <c r="P53" s="91"/>
      <c r="Q53" s="40" t="s">
        <v>14</v>
      </c>
    </row>
    <row r="54" spans="1:17" ht="84" x14ac:dyDescent="0.2">
      <c r="A54" s="53"/>
      <c r="B54" s="54"/>
      <c r="C54" s="54"/>
      <c r="D54" s="340" t="s">
        <v>296</v>
      </c>
      <c r="E54" s="47">
        <f>F54+G54</f>
        <v>4363400</v>
      </c>
      <c r="F54" s="47">
        <f>F55+F60</f>
        <v>1786000</v>
      </c>
      <c r="G54" s="44">
        <f>G55+G60</f>
        <v>2577400</v>
      </c>
      <c r="H54" s="405" t="s">
        <v>355</v>
      </c>
      <c r="I54" s="408"/>
      <c r="J54" s="409"/>
      <c r="K54" s="44">
        <f>K55+K60</f>
        <v>1684000</v>
      </c>
      <c r="L54" s="44">
        <f>L55+L60</f>
        <v>0</v>
      </c>
      <c r="M54" s="83">
        <f>M55+M60</f>
        <v>1565587.81</v>
      </c>
      <c r="N54" s="83">
        <f>N55+N60</f>
        <v>2748312.19</v>
      </c>
      <c r="O54" s="83">
        <f>M54*100/E54</f>
        <v>35.879997479030116</v>
      </c>
      <c r="P54" s="83"/>
      <c r="Q54" s="40" t="s">
        <v>14</v>
      </c>
    </row>
    <row r="55" spans="1:17" x14ac:dyDescent="0.2">
      <c r="A55" s="53"/>
      <c r="B55" s="54"/>
      <c r="C55" s="54"/>
      <c r="D55" s="340" t="s">
        <v>180</v>
      </c>
      <c r="E55" s="47"/>
      <c r="F55" s="47"/>
      <c r="G55" s="44">
        <v>2577400</v>
      </c>
      <c r="H55" s="409"/>
      <c r="I55" s="408"/>
      <c r="J55" s="409"/>
      <c r="K55" s="44"/>
      <c r="L55" s="44"/>
      <c r="M55" s="83">
        <f>9000+9000+9000+9000+9000+8129.03+8129.03+9032.25+8419.35+7548.38+9000+9000+9000+9000+8700+7800+7800+8700+9000+10000+75420+8950+10368.5+13446.14+4500+9000+9000+9000+9000+8419.35+8129.03+8129.03+9000+9032.25+10000+75420+24096.08+40000+12700+43520+10130+3500+10200+14605.18+9000+9000+9000+8709.67+9000+8709.67+9000+7548.38+10000+11000+13319.47+9000+9000+9000+9000+8357.14+8035.71+8035.71+9000+7392.85+10000+9300+45000-1000+15000+22410.15+9000+9000+9000+9000+7838.7+8129.03+8129.03+9000+7838.7+10000+26964+28000+39092+9000+9000+9000+8400+8700+7800+8100+9000+7800+10000+16154</f>
        <v>1175587.81</v>
      </c>
      <c r="N55" s="83">
        <f>G55-M55-P55</f>
        <v>1264312.19</v>
      </c>
      <c r="O55" s="83">
        <f>M55*100/G55</f>
        <v>45.611383952820674</v>
      </c>
      <c r="P55" s="83">
        <f>136500+1000</f>
        <v>137500</v>
      </c>
      <c r="Q55" s="40"/>
    </row>
    <row r="56" spans="1:17" ht="37.5" hidden="1" x14ac:dyDescent="0.2">
      <c r="A56" s="55"/>
      <c r="B56" s="28"/>
      <c r="C56" s="28"/>
      <c r="D56" s="431" t="s">
        <v>273</v>
      </c>
      <c r="E56" s="432"/>
      <c r="F56" s="432"/>
      <c r="G56" s="433">
        <v>1400</v>
      </c>
      <c r="H56" s="434" t="s">
        <v>272</v>
      </c>
      <c r="I56" s="435"/>
      <c r="J56" s="436"/>
      <c r="K56" s="433"/>
      <c r="L56" s="433"/>
      <c r="M56" s="437"/>
      <c r="N56" s="437"/>
      <c r="O56" s="437"/>
      <c r="P56" s="85">
        <v>1400</v>
      </c>
      <c r="Q56" s="438" t="s">
        <v>21</v>
      </c>
    </row>
    <row r="57" spans="1:17" ht="42" hidden="1" x14ac:dyDescent="0.2">
      <c r="A57" s="55"/>
      <c r="B57" s="28"/>
      <c r="C57" s="28"/>
      <c r="D57" s="431" t="s">
        <v>277</v>
      </c>
      <c r="E57" s="432"/>
      <c r="F57" s="432"/>
      <c r="G57" s="433">
        <v>5670</v>
      </c>
      <c r="H57" s="434" t="s">
        <v>272</v>
      </c>
      <c r="I57" s="435"/>
      <c r="J57" s="436"/>
      <c r="K57" s="433"/>
      <c r="L57" s="433"/>
      <c r="M57" s="437"/>
      <c r="N57" s="437"/>
      <c r="O57" s="437"/>
      <c r="P57" s="85">
        <v>5670</v>
      </c>
      <c r="Q57" s="438" t="s">
        <v>21</v>
      </c>
    </row>
    <row r="58" spans="1:17" ht="35.25" hidden="1" customHeight="1" x14ac:dyDescent="0.2">
      <c r="A58" s="55"/>
      <c r="B58" s="28"/>
      <c r="C58" s="28"/>
      <c r="D58" s="431" t="s">
        <v>278</v>
      </c>
      <c r="E58" s="432"/>
      <c r="F58" s="432"/>
      <c r="G58" s="433">
        <v>9000</v>
      </c>
      <c r="H58" s="434" t="s">
        <v>272</v>
      </c>
      <c r="I58" s="435"/>
      <c r="J58" s="436"/>
      <c r="K58" s="433"/>
      <c r="L58" s="433"/>
      <c r="M58" s="437"/>
      <c r="N58" s="437"/>
      <c r="O58" s="437"/>
      <c r="P58" s="85">
        <v>9000</v>
      </c>
      <c r="Q58" s="438" t="s">
        <v>21</v>
      </c>
    </row>
    <row r="59" spans="1:17" ht="42" hidden="1" x14ac:dyDescent="0.2">
      <c r="A59" s="55"/>
      <c r="B59" s="28"/>
      <c r="C59" s="28"/>
      <c r="D59" s="431" t="s">
        <v>279</v>
      </c>
      <c r="E59" s="432"/>
      <c r="F59" s="432"/>
      <c r="G59" s="433">
        <v>105250</v>
      </c>
      <c r="H59" s="434" t="s">
        <v>272</v>
      </c>
      <c r="I59" s="435"/>
      <c r="J59" s="436"/>
      <c r="K59" s="433"/>
      <c r="L59" s="433"/>
      <c r="M59" s="437"/>
      <c r="N59" s="437"/>
      <c r="O59" s="437"/>
      <c r="P59" s="85">
        <v>105250</v>
      </c>
      <c r="Q59" s="438" t="s">
        <v>280</v>
      </c>
    </row>
    <row r="60" spans="1:17" x14ac:dyDescent="0.2">
      <c r="A60" s="51"/>
      <c r="B60" s="52"/>
      <c r="C60" s="52"/>
      <c r="D60" s="43" t="s">
        <v>259</v>
      </c>
      <c r="E60" s="38"/>
      <c r="F60" s="38">
        <f>F61+F62+F63+F65+F66+F64</f>
        <v>1786000</v>
      </c>
      <c r="G60" s="38">
        <f>G61+G62+G63+G65+G66</f>
        <v>0</v>
      </c>
      <c r="H60" s="439"/>
      <c r="I60" s="440"/>
      <c r="J60" s="439"/>
      <c r="K60" s="38">
        <f>K61+K62+K63+K65+K66</f>
        <v>1684000</v>
      </c>
      <c r="L60" s="38">
        <f>L61+L62+L63+L65+L66</f>
        <v>0</v>
      </c>
      <c r="M60" s="441">
        <f>M61+M62+M63+M65+M66</f>
        <v>390000</v>
      </c>
      <c r="N60" s="441">
        <f>N61+N61+N63+N65+N66</f>
        <v>1484000</v>
      </c>
      <c r="O60" s="82">
        <f>M60*100/K60</f>
        <v>23.159144893111637</v>
      </c>
      <c r="P60" s="82"/>
      <c r="Q60" s="386"/>
    </row>
    <row r="61" spans="1:17" ht="51.75" x14ac:dyDescent="0.2">
      <c r="A61" s="53"/>
      <c r="B61" s="54"/>
      <c r="C61" s="54"/>
      <c r="D61" s="340" t="s">
        <v>16</v>
      </c>
      <c r="E61" s="68">
        <f t="shared" ref="E61:E66" si="14">F61</f>
        <v>300000</v>
      </c>
      <c r="F61" s="442">
        <f>341500-41500</f>
        <v>300000</v>
      </c>
      <c r="G61" s="442">
        <v>0</v>
      </c>
      <c r="H61" s="341" t="s">
        <v>368</v>
      </c>
      <c r="I61" s="443" t="s">
        <v>494</v>
      </c>
      <c r="J61" s="444" t="s">
        <v>312</v>
      </c>
      <c r="K61" s="445">
        <v>300000</v>
      </c>
      <c r="L61" s="445">
        <f>F61-K61</f>
        <v>0</v>
      </c>
      <c r="M61" s="446"/>
      <c r="N61" s="446">
        <f>K61</f>
        <v>300000</v>
      </c>
      <c r="O61" s="446"/>
      <c r="P61" s="446"/>
      <c r="Q61" s="40" t="s">
        <v>39</v>
      </c>
    </row>
    <row r="62" spans="1:17" ht="51.75" x14ac:dyDescent="0.2">
      <c r="A62" s="53"/>
      <c r="B62" s="54"/>
      <c r="C62" s="54"/>
      <c r="D62" s="340" t="s">
        <v>471</v>
      </c>
      <c r="E62" s="68">
        <f t="shared" si="14"/>
        <v>110000</v>
      </c>
      <c r="F62" s="442">
        <f>147000-37000</f>
        <v>110000</v>
      </c>
      <c r="G62" s="442">
        <v>0</v>
      </c>
      <c r="H62" s="341" t="s">
        <v>368</v>
      </c>
      <c r="I62" s="443" t="s">
        <v>494</v>
      </c>
      <c r="J62" s="444" t="s">
        <v>312</v>
      </c>
      <c r="K62" s="445">
        <v>110000</v>
      </c>
      <c r="L62" s="445">
        <f>F62-K62</f>
        <v>0</v>
      </c>
      <c r="M62" s="446"/>
      <c r="N62" s="446">
        <f>K62</f>
        <v>110000</v>
      </c>
      <c r="O62" s="446"/>
      <c r="P62" s="446"/>
      <c r="Q62" s="40" t="s">
        <v>39</v>
      </c>
    </row>
    <row r="63" spans="1:17" ht="54.75" customHeight="1" x14ac:dyDescent="0.2">
      <c r="A63" s="53"/>
      <c r="B63" s="54"/>
      <c r="C63" s="54"/>
      <c r="D63" s="340" t="s">
        <v>18</v>
      </c>
      <c r="E63" s="68">
        <f t="shared" si="14"/>
        <v>492000</v>
      </c>
      <c r="F63" s="442">
        <v>492000</v>
      </c>
      <c r="G63" s="447">
        <v>0</v>
      </c>
      <c r="H63" s="667" t="s">
        <v>368</v>
      </c>
      <c r="I63" s="669" t="s">
        <v>495</v>
      </c>
      <c r="J63" s="448" t="s">
        <v>502</v>
      </c>
      <c r="K63" s="447">
        <v>492000</v>
      </c>
      <c r="L63" s="447">
        <f>F63-K63</f>
        <v>0</v>
      </c>
      <c r="M63" s="83"/>
      <c r="N63" s="83">
        <f t="shared" ref="N63:N66" si="15">K63-M63</f>
        <v>492000</v>
      </c>
      <c r="O63" s="83">
        <v>0</v>
      </c>
      <c r="P63" s="83"/>
      <c r="Q63" s="449" t="s">
        <v>25</v>
      </c>
    </row>
    <row r="64" spans="1:17" hidden="1" x14ac:dyDescent="0.2">
      <c r="A64" s="51"/>
      <c r="B64" s="52"/>
      <c r="C64" s="52"/>
      <c r="D64" s="43"/>
      <c r="E64" s="450">
        <f t="shared" si="14"/>
        <v>102000</v>
      </c>
      <c r="F64" s="451">
        <v>102000</v>
      </c>
      <c r="G64" s="452"/>
      <c r="H64" s="668"/>
      <c r="I64" s="670"/>
      <c r="J64" s="453"/>
      <c r="K64" s="452"/>
      <c r="L64" s="452"/>
      <c r="M64" s="82"/>
      <c r="N64" s="83"/>
      <c r="O64" s="83"/>
      <c r="P64" s="82"/>
      <c r="Q64" s="454"/>
    </row>
    <row r="65" spans="1:18" ht="51.75" x14ac:dyDescent="0.2">
      <c r="A65" s="51"/>
      <c r="B65" s="52"/>
      <c r="C65" s="52"/>
      <c r="D65" s="43" t="s">
        <v>19</v>
      </c>
      <c r="E65" s="450">
        <f t="shared" si="14"/>
        <v>390000</v>
      </c>
      <c r="F65" s="451">
        <f>396000-6000</f>
        <v>390000</v>
      </c>
      <c r="G65" s="452">
        <v>0</v>
      </c>
      <c r="H65" s="288" t="s">
        <v>395</v>
      </c>
      <c r="I65" s="430" t="s">
        <v>421</v>
      </c>
      <c r="J65" s="455" t="s">
        <v>422</v>
      </c>
      <c r="K65" s="452">
        <v>390000</v>
      </c>
      <c r="L65" s="452">
        <f>F65-K65</f>
        <v>0</v>
      </c>
      <c r="M65" s="82">
        <v>390000</v>
      </c>
      <c r="N65" s="83">
        <f t="shared" si="15"/>
        <v>0</v>
      </c>
      <c r="O65" s="83">
        <f t="shared" ref="O65" si="16">M65*100/K65</f>
        <v>100</v>
      </c>
      <c r="P65" s="82"/>
      <c r="Q65" s="454" t="s">
        <v>25</v>
      </c>
    </row>
    <row r="66" spans="1:18" ht="75" x14ac:dyDescent="0.2">
      <c r="A66" s="51"/>
      <c r="B66" s="52"/>
      <c r="C66" s="52"/>
      <c r="D66" s="43" t="s">
        <v>20</v>
      </c>
      <c r="E66" s="450">
        <f t="shared" si="14"/>
        <v>392000</v>
      </c>
      <c r="F66" s="451">
        <f>450000-58000</f>
        <v>392000</v>
      </c>
      <c r="G66" s="452">
        <v>0</v>
      </c>
      <c r="H66" s="255" t="s">
        <v>368</v>
      </c>
      <c r="I66" s="443" t="s">
        <v>496</v>
      </c>
      <c r="J66" s="456" t="s">
        <v>503</v>
      </c>
      <c r="K66" s="452">
        <v>392000</v>
      </c>
      <c r="L66" s="452">
        <f>F66-K66</f>
        <v>0</v>
      </c>
      <c r="M66" s="82"/>
      <c r="N66" s="83">
        <f t="shared" si="15"/>
        <v>392000</v>
      </c>
      <c r="O66" s="83">
        <v>0</v>
      </c>
      <c r="P66" s="82"/>
      <c r="Q66" s="40" t="s">
        <v>39</v>
      </c>
    </row>
    <row r="67" spans="1:18" ht="37.5" x14ac:dyDescent="0.2">
      <c r="A67" s="53"/>
      <c r="B67" s="54"/>
      <c r="C67" s="54"/>
      <c r="D67" s="340" t="s">
        <v>138</v>
      </c>
      <c r="E67" s="47">
        <f>G67</f>
        <v>1062900</v>
      </c>
      <c r="F67" s="47">
        <v>0</v>
      </c>
      <c r="G67" s="44">
        <v>1062900</v>
      </c>
      <c r="H67" s="405" t="s">
        <v>355</v>
      </c>
      <c r="I67" s="457"/>
      <c r="J67" s="409"/>
      <c r="K67" s="44"/>
      <c r="L67" s="44"/>
      <c r="M67" s="83">
        <f>65600+57400+58240</f>
        <v>181240</v>
      </c>
      <c r="N67" s="83">
        <f>G67-M67</f>
        <v>881660</v>
      </c>
      <c r="O67" s="83">
        <f t="shared" ref="O67:O70" si="17">M67*100/G67</f>
        <v>17.051462978643336</v>
      </c>
      <c r="P67" s="83"/>
      <c r="Q67" s="40" t="s">
        <v>21</v>
      </c>
    </row>
    <row r="68" spans="1:18" s="387" customFormat="1" ht="33" customHeight="1" x14ac:dyDescent="0.2">
      <c r="A68" s="36"/>
      <c r="B68" s="37"/>
      <c r="C68" s="672" t="s">
        <v>137</v>
      </c>
      <c r="D68" s="673"/>
      <c r="E68" s="421">
        <f>E69+E70</f>
        <v>14230000</v>
      </c>
      <c r="F68" s="421">
        <f>F69+F70</f>
        <v>0</v>
      </c>
      <c r="G68" s="421">
        <f>G69+G70</f>
        <v>14230000</v>
      </c>
      <c r="H68" s="422"/>
      <c r="I68" s="423"/>
      <c r="J68" s="422"/>
      <c r="K68" s="421">
        <f t="shared" ref="K68:P68" si="18">K69+K70</f>
        <v>0</v>
      </c>
      <c r="L68" s="421">
        <f t="shared" si="18"/>
        <v>0</v>
      </c>
      <c r="M68" s="424">
        <f t="shared" si="18"/>
        <v>308160</v>
      </c>
      <c r="N68" s="424">
        <f t="shared" si="18"/>
        <v>13921840</v>
      </c>
      <c r="O68" s="424">
        <f t="shared" si="17"/>
        <v>2.1655657062543923</v>
      </c>
      <c r="P68" s="424">
        <f t="shared" si="18"/>
        <v>0</v>
      </c>
      <c r="Q68" s="45"/>
    </row>
    <row r="69" spans="1:18" s="387" customFormat="1" ht="37.5" x14ac:dyDescent="0.2">
      <c r="A69" s="36"/>
      <c r="B69" s="37"/>
      <c r="C69" s="383"/>
      <c r="D69" s="340" t="s">
        <v>139</v>
      </c>
      <c r="E69" s="458">
        <f>G69</f>
        <v>13750000</v>
      </c>
      <c r="F69" s="458">
        <v>0</v>
      </c>
      <c r="G69" s="459">
        <v>13750000</v>
      </c>
      <c r="H69" s="460" t="s">
        <v>355</v>
      </c>
      <c r="I69" s="461"/>
      <c r="J69" s="462"/>
      <c r="K69" s="459"/>
      <c r="L69" s="459"/>
      <c r="M69" s="463">
        <f>4800+36200</f>
        <v>41000</v>
      </c>
      <c r="N69" s="463">
        <f>G69-M69</f>
        <v>13709000</v>
      </c>
      <c r="O69" s="463">
        <f t="shared" si="17"/>
        <v>0.29818181818181816</v>
      </c>
      <c r="P69" s="463"/>
      <c r="Q69" s="40" t="s">
        <v>22</v>
      </c>
    </row>
    <row r="70" spans="1:18" s="387" customFormat="1" ht="42" x14ac:dyDescent="0.2">
      <c r="A70" s="36"/>
      <c r="B70" s="37"/>
      <c r="C70" s="383"/>
      <c r="D70" s="340" t="s">
        <v>335</v>
      </c>
      <c r="E70" s="458">
        <f>G70</f>
        <v>480000</v>
      </c>
      <c r="F70" s="458">
        <v>0</v>
      </c>
      <c r="G70" s="459">
        <v>480000</v>
      </c>
      <c r="H70" s="405" t="s">
        <v>355</v>
      </c>
      <c r="I70" s="461"/>
      <c r="J70" s="462"/>
      <c r="K70" s="459"/>
      <c r="L70" s="459"/>
      <c r="M70" s="463">
        <f>47200+8480+164560-2800+49720</f>
        <v>267160</v>
      </c>
      <c r="N70" s="463">
        <f>G70-M70</f>
        <v>212840</v>
      </c>
      <c r="O70" s="463">
        <f t="shared" si="17"/>
        <v>55.658333333333331</v>
      </c>
      <c r="P70" s="463"/>
      <c r="Q70" s="40" t="s">
        <v>14</v>
      </c>
    </row>
    <row r="71" spans="1:18" s="387" customFormat="1" ht="30.75" customHeight="1" x14ac:dyDescent="0.2">
      <c r="A71" s="41"/>
      <c r="B71" s="674" t="s">
        <v>140</v>
      </c>
      <c r="C71" s="674"/>
      <c r="D71" s="675"/>
      <c r="E71" s="138">
        <f>F71+G71</f>
        <v>797480</v>
      </c>
      <c r="F71" s="138">
        <f>F72</f>
        <v>0</v>
      </c>
      <c r="G71" s="138">
        <f>G72</f>
        <v>797480</v>
      </c>
      <c r="H71" s="426"/>
      <c r="I71" s="427"/>
      <c r="J71" s="426"/>
      <c r="K71" s="138">
        <f t="shared" ref="K71:P71" si="19">K72</f>
        <v>0</v>
      </c>
      <c r="L71" s="138">
        <f t="shared" si="19"/>
        <v>0</v>
      </c>
      <c r="M71" s="428">
        <f t="shared" si="19"/>
        <v>797480</v>
      </c>
      <c r="N71" s="428">
        <f t="shared" si="19"/>
        <v>0</v>
      </c>
      <c r="O71" s="428">
        <v>100</v>
      </c>
      <c r="P71" s="428">
        <f t="shared" si="19"/>
        <v>0</v>
      </c>
      <c r="Q71" s="45"/>
    </row>
    <row r="72" spans="1:18" s="387" customFormat="1" ht="32.25" customHeight="1" x14ac:dyDescent="0.2">
      <c r="A72" s="48"/>
      <c r="B72" s="49"/>
      <c r="C72" s="678" t="s">
        <v>141</v>
      </c>
      <c r="D72" s="679"/>
      <c r="E72" s="464">
        <f>F72+G72</f>
        <v>797480</v>
      </c>
      <c r="F72" s="464">
        <f>F73+F74+F75</f>
        <v>0</v>
      </c>
      <c r="G72" s="464">
        <f>G73+G74+G75</f>
        <v>797480</v>
      </c>
      <c r="H72" s="403"/>
      <c r="I72" s="465"/>
      <c r="J72" s="466"/>
      <c r="K72" s="464">
        <f t="shared" ref="K72:P72" si="20">K73+K74+K75</f>
        <v>0</v>
      </c>
      <c r="L72" s="464">
        <f t="shared" si="20"/>
        <v>0</v>
      </c>
      <c r="M72" s="467">
        <f t="shared" si="20"/>
        <v>797480</v>
      </c>
      <c r="N72" s="467">
        <f t="shared" si="20"/>
        <v>0</v>
      </c>
      <c r="O72" s="467">
        <v>100</v>
      </c>
      <c r="P72" s="467">
        <f t="shared" si="20"/>
        <v>0</v>
      </c>
      <c r="Q72" s="468"/>
    </row>
    <row r="73" spans="1:18" ht="51" customHeight="1" x14ac:dyDescent="0.2">
      <c r="A73" s="469"/>
      <c r="B73" s="470"/>
      <c r="C73" s="470"/>
      <c r="D73" s="471" t="s">
        <v>142</v>
      </c>
      <c r="E73" s="472">
        <f>G73</f>
        <v>97480</v>
      </c>
      <c r="F73" s="472">
        <v>0</v>
      </c>
      <c r="G73" s="473">
        <f>100000-2520</f>
        <v>97480</v>
      </c>
      <c r="H73" s="405" t="s">
        <v>395</v>
      </c>
      <c r="I73" s="474"/>
      <c r="J73" s="475"/>
      <c r="K73" s="476"/>
      <c r="L73" s="476"/>
      <c r="M73" s="477">
        <f>25700+30600+41180</f>
        <v>97480</v>
      </c>
      <c r="N73" s="477">
        <f>G73-M73-P73</f>
        <v>0</v>
      </c>
      <c r="O73" s="477">
        <v>100</v>
      </c>
      <c r="P73" s="477">
        <v>0</v>
      </c>
      <c r="Q73" s="385" t="s">
        <v>260</v>
      </c>
    </row>
    <row r="74" spans="1:18" ht="31.5" x14ac:dyDescent="0.2">
      <c r="A74" s="53"/>
      <c r="B74" s="54"/>
      <c r="C74" s="54"/>
      <c r="D74" s="340" t="s">
        <v>143</v>
      </c>
      <c r="E74" s="472">
        <f>G74</f>
        <v>600000</v>
      </c>
      <c r="F74" s="47">
        <v>0</v>
      </c>
      <c r="G74" s="44">
        <f>750000-150000</f>
        <v>600000</v>
      </c>
      <c r="H74" s="405" t="s">
        <v>395</v>
      </c>
      <c r="I74" s="408"/>
      <c r="J74" s="409"/>
      <c r="K74" s="44"/>
      <c r="L74" s="44"/>
      <c r="M74" s="83">
        <f>600000</f>
        <v>600000</v>
      </c>
      <c r="N74" s="477">
        <f>G74-M74-P74</f>
        <v>0</v>
      </c>
      <c r="O74" s="477">
        <v>100</v>
      </c>
      <c r="P74" s="477">
        <v>0</v>
      </c>
      <c r="Q74" s="40" t="s">
        <v>23</v>
      </c>
    </row>
    <row r="75" spans="1:18" ht="31.5" x14ac:dyDescent="0.2">
      <c r="A75" s="53"/>
      <c r="B75" s="54"/>
      <c r="C75" s="54"/>
      <c r="D75" s="340" t="s">
        <v>144</v>
      </c>
      <c r="E75" s="47">
        <f>G75</f>
        <v>100000</v>
      </c>
      <c r="F75" s="47">
        <v>0</v>
      </c>
      <c r="G75" s="44">
        <v>100000</v>
      </c>
      <c r="H75" s="405" t="s">
        <v>395</v>
      </c>
      <c r="I75" s="408"/>
      <c r="J75" s="409"/>
      <c r="K75" s="44"/>
      <c r="L75" s="44"/>
      <c r="M75" s="83">
        <f>48000+52000</f>
        <v>100000</v>
      </c>
      <c r="N75" s="83">
        <f t="shared" ref="N75" si="21">G75-M75</f>
        <v>0</v>
      </c>
      <c r="O75" s="83">
        <f t="shared" ref="O75" si="22">M75*100/G75</f>
        <v>100</v>
      </c>
      <c r="P75" s="83"/>
      <c r="Q75" s="40" t="s">
        <v>23</v>
      </c>
    </row>
    <row r="76" spans="1:18" s="387" customFormat="1" ht="22.5" customHeight="1" x14ac:dyDescent="0.2">
      <c r="A76" s="41"/>
      <c r="B76" s="674" t="s">
        <v>145</v>
      </c>
      <c r="C76" s="674"/>
      <c r="D76" s="675"/>
      <c r="E76" s="35">
        <f>F76+G76</f>
        <v>31484794.440000001</v>
      </c>
      <c r="F76" s="138">
        <f>F77+F82+F90</f>
        <v>31484794.440000001</v>
      </c>
      <c r="G76" s="138">
        <f>G77+G82+G90</f>
        <v>0</v>
      </c>
      <c r="H76" s="426"/>
      <c r="I76" s="427"/>
      <c r="J76" s="426"/>
      <c r="K76" s="138">
        <f t="shared" ref="K76:P76" si="23">K77+K82+K90</f>
        <v>31484794.440000001</v>
      </c>
      <c r="L76" s="138">
        <f t="shared" si="23"/>
        <v>0</v>
      </c>
      <c r="M76" s="428">
        <f t="shared" si="23"/>
        <v>26091592.77</v>
      </c>
      <c r="N76" s="90">
        <f t="shared" si="23"/>
        <v>5081076</v>
      </c>
      <c r="O76" s="90">
        <f>M76*100/K76</f>
        <v>82.870456148990499</v>
      </c>
      <c r="P76" s="90">
        <f t="shared" si="23"/>
        <v>312125.67000000004</v>
      </c>
      <c r="Q76" s="45"/>
    </row>
    <row r="77" spans="1:18" s="387" customFormat="1" x14ac:dyDescent="0.2">
      <c r="A77" s="36"/>
      <c r="B77" s="37"/>
      <c r="C77" s="672" t="s">
        <v>146</v>
      </c>
      <c r="D77" s="673"/>
      <c r="E77" s="35">
        <f>F77+G77</f>
        <v>8747869</v>
      </c>
      <c r="F77" s="35">
        <f>F78+F79+F80+F81</f>
        <v>8747869</v>
      </c>
      <c r="G77" s="35">
        <f>G78+G79+G80+G81</f>
        <v>0</v>
      </c>
      <c r="H77" s="403"/>
      <c r="I77" s="404"/>
      <c r="J77" s="403"/>
      <c r="K77" s="35">
        <f t="shared" ref="K77:P77" si="24">K78+K79+K80+K81</f>
        <v>8747869</v>
      </c>
      <c r="L77" s="35">
        <f t="shared" si="24"/>
        <v>0</v>
      </c>
      <c r="M77" s="90">
        <f t="shared" si="24"/>
        <v>5114119</v>
      </c>
      <c r="N77" s="90">
        <f t="shared" si="24"/>
        <v>3633750</v>
      </c>
      <c r="O77" s="90">
        <f>M77*100/K77</f>
        <v>58.461312120700484</v>
      </c>
      <c r="P77" s="90">
        <f t="shared" si="24"/>
        <v>0</v>
      </c>
      <c r="Q77" s="45"/>
    </row>
    <row r="78" spans="1:18" s="387" customFormat="1" ht="66" customHeight="1" x14ac:dyDescent="0.2">
      <c r="A78" s="48"/>
      <c r="B78" s="49"/>
      <c r="C78" s="478"/>
      <c r="D78" s="43" t="s">
        <v>264</v>
      </c>
      <c r="E78" s="38">
        <f>F78</f>
        <v>0</v>
      </c>
      <c r="F78" s="479">
        <f>2863600-2863600</f>
        <v>0</v>
      </c>
      <c r="G78" s="39">
        <v>0</v>
      </c>
      <c r="H78" s="480" t="s">
        <v>272</v>
      </c>
      <c r="I78" s="406"/>
      <c r="J78" s="407"/>
      <c r="K78" s="39"/>
      <c r="L78" s="39"/>
      <c r="M78" s="82"/>
      <c r="N78" s="82">
        <v>0</v>
      </c>
      <c r="O78" s="82">
        <v>0</v>
      </c>
      <c r="P78" s="82"/>
      <c r="Q78" s="45" t="s">
        <v>24</v>
      </c>
      <c r="R78" s="481">
        <f>F76-F78</f>
        <v>31484794.440000001</v>
      </c>
    </row>
    <row r="79" spans="1:18" s="387" customFormat="1" ht="63" x14ac:dyDescent="0.2">
      <c r="A79" s="36"/>
      <c r="B79" s="37"/>
      <c r="C79" s="383"/>
      <c r="D79" s="340" t="s">
        <v>265</v>
      </c>
      <c r="E79" s="38">
        <f>F79</f>
        <v>4275000</v>
      </c>
      <c r="F79" s="47">
        <f>4684400-409400</f>
        <v>4275000</v>
      </c>
      <c r="G79" s="44">
        <v>0</v>
      </c>
      <c r="H79" s="256" t="s">
        <v>368</v>
      </c>
      <c r="I79" s="430" t="s">
        <v>392</v>
      </c>
      <c r="J79" s="482" t="s">
        <v>312</v>
      </c>
      <c r="K79" s="44">
        <v>4275000</v>
      </c>
      <c r="L79" s="44">
        <f>F79-K79</f>
        <v>0</v>
      </c>
      <c r="M79" s="83">
        <f>641250</f>
        <v>641250</v>
      </c>
      <c r="N79" s="82">
        <f>K79-M79</f>
        <v>3633750</v>
      </c>
      <c r="O79" s="82">
        <f>M79*100/K79</f>
        <v>15</v>
      </c>
      <c r="P79" s="82"/>
      <c r="Q79" s="40" t="s">
        <v>25</v>
      </c>
      <c r="R79" s="394">
        <f>L76*100/R78</f>
        <v>0</v>
      </c>
    </row>
    <row r="80" spans="1:18" ht="63" x14ac:dyDescent="0.2">
      <c r="A80" s="53"/>
      <c r="B80" s="54"/>
      <c r="C80" s="54"/>
      <c r="D80" s="56" t="s">
        <v>266</v>
      </c>
      <c r="E80" s="38">
        <f>F80</f>
        <v>2095869</v>
      </c>
      <c r="F80" s="47">
        <f>3381000-954700-297300-33131</f>
        <v>2095869</v>
      </c>
      <c r="G80" s="39">
        <v>0</v>
      </c>
      <c r="H80" s="256" t="s">
        <v>395</v>
      </c>
      <c r="I80" s="430" t="s">
        <v>391</v>
      </c>
      <c r="J80" s="411" t="s">
        <v>314</v>
      </c>
      <c r="K80" s="39">
        <f>2129000-33131</f>
        <v>2095869</v>
      </c>
      <c r="L80" s="44"/>
      <c r="M80" s="82">
        <v>2095869</v>
      </c>
      <c r="N80" s="82">
        <f>K80-M80</f>
        <v>0</v>
      </c>
      <c r="O80" s="82">
        <v>100</v>
      </c>
      <c r="P80" s="82">
        <v>0</v>
      </c>
      <c r="Q80" s="45" t="s">
        <v>24</v>
      </c>
      <c r="R80" s="483">
        <f>L76*100/E7</f>
        <v>0</v>
      </c>
    </row>
    <row r="81" spans="1:17" ht="63" x14ac:dyDescent="0.2">
      <c r="A81" s="53"/>
      <c r="B81" s="54"/>
      <c r="C81" s="54"/>
      <c r="D81" s="56" t="s">
        <v>267</v>
      </c>
      <c r="E81" s="38">
        <f>F81</f>
        <v>2377000</v>
      </c>
      <c r="F81" s="47">
        <f>2476500-99500</f>
        <v>2377000</v>
      </c>
      <c r="G81" s="44">
        <v>0</v>
      </c>
      <c r="H81" s="256" t="s">
        <v>395</v>
      </c>
      <c r="I81" s="430" t="s">
        <v>390</v>
      </c>
      <c r="J81" s="482" t="s">
        <v>316</v>
      </c>
      <c r="K81" s="44">
        <v>2377000</v>
      </c>
      <c r="L81" s="44">
        <f>F81-K81</f>
        <v>0</v>
      </c>
      <c r="M81" s="83">
        <v>2377000</v>
      </c>
      <c r="N81" s="82">
        <f>K81-M81</f>
        <v>0</v>
      </c>
      <c r="O81" s="82">
        <f t="shared" ref="O81" si="25">M81*100/K81</f>
        <v>100</v>
      </c>
      <c r="P81" s="82"/>
      <c r="Q81" s="45" t="s">
        <v>27</v>
      </c>
    </row>
    <row r="82" spans="1:17" s="387" customFormat="1" ht="42.75" customHeight="1" x14ac:dyDescent="0.2">
      <c r="A82" s="36"/>
      <c r="B82" s="37"/>
      <c r="C82" s="672" t="s">
        <v>147</v>
      </c>
      <c r="D82" s="673"/>
      <c r="E82" s="35">
        <f>F82+G82</f>
        <v>17340825.440000001</v>
      </c>
      <c r="F82" s="35">
        <f>F83+F84+F85+F86+F87+F88+F89</f>
        <v>17340825.440000001</v>
      </c>
      <c r="G82" s="35">
        <f>G83+G84+G85+G86+G87+G88+G89</f>
        <v>0</v>
      </c>
      <c r="H82" s="403"/>
      <c r="I82" s="404"/>
      <c r="J82" s="403"/>
      <c r="K82" s="35">
        <f t="shared" ref="K82:P82" si="26">K83+K84+K85+K86+K87+K88+K89</f>
        <v>17340825.440000001</v>
      </c>
      <c r="L82" s="35">
        <f t="shared" si="26"/>
        <v>0</v>
      </c>
      <c r="M82" s="90">
        <f t="shared" si="26"/>
        <v>15873099.66</v>
      </c>
      <c r="N82" s="90">
        <f t="shared" si="26"/>
        <v>1447326.0000000002</v>
      </c>
      <c r="O82" s="90">
        <f>M82*100/K82</f>
        <v>91.53600971834706</v>
      </c>
      <c r="P82" s="90">
        <f t="shared" si="26"/>
        <v>20399.78</v>
      </c>
      <c r="Q82" s="45"/>
    </row>
    <row r="83" spans="1:17" ht="60.75" customHeight="1" x14ac:dyDescent="0.2">
      <c r="A83" s="51"/>
      <c r="B83" s="52"/>
      <c r="C83" s="52"/>
      <c r="D83" s="43" t="s">
        <v>248</v>
      </c>
      <c r="E83" s="47">
        <f>F83</f>
        <v>2355841</v>
      </c>
      <c r="F83" s="47">
        <f>2401000-11000-34159</f>
        <v>2355841</v>
      </c>
      <c r="G83" s="44">
        <v>0</v>
      </c>
      <c r="H83" s="256" t="s">
        <v>395</v>
      </c>
      <c r="I83" s="430" t="s">
        <v>389</v>
      </c>
      <c r="J83" s="411" t="s">
        <v>318</v>
      </c>
      <c r="K83" s="44">
        <f>2390000-34159</f>
        <v>2355841</v>
      </c>
      <c r="L83" s="44">
        <f>F83-K83</f>
        <v>0</v>
      </c>
      <c r="M83" s="83">
        <v>2355841</v>
      </c>
      <c r="N83" s="83">
        <v>0</v>
      </c>
      <c r="O83" s="83">
        <v>100</v>
      </c>
      <c r="P83" s="83">
        <f>K83-M83</f>
        <v>0</v>
      </c>
      <c r="Q83" s="484" t="s">
        <v>28</v>
      </c>
    </row>
    <row r="84" spans="1:17" ht="69" x14ac:dyDescent="0.2">
      <c r="A84" s="53"/>
      <c r="B84" s="54"/>
      <c r="C84" s="54"/>
      <c r="D84" s="56" t="s">
        <v>268</v>
      </c>
      <c r="E84" s="47">
        <f t="shared" ref="E84:E89" si="27">F84</f>
        <v>2303000</v>
      </c>
      <c r="F84" s="47">
        <v>2303000</v>
      </c>
      <c r="G84" s="39">
        <v>0</v>
      </c>
      <c r="H84" s="256" t="s">
        <v>395</v>
      </c>
      <c r="I84" s="430" t="s">
        <v>476</v>
      </c>
      <c r="J84" s="411" t="s">
        <v>318</v>
      </c>
      <c r="K84" s="39">
        <v>2303000</v>
      </c>
      <c r="L84" s="44">
        <f>F84-K84</f>
        <v>0</v>
      </c>
      <c r="M84" s="82">
        <v>2303000</v>
      </c>
      <c r="N84" s="83">
        <f t="shared" ref="N84:N89" si="28">F84-M84</f>
        <v>0</v>
      </c>
      <c r="O84" s="83">
        <f t="shared" ref="O84:O89" si="29">M84*100/K84</f>
        <v>100</v>
      </c>
      <c r="P84" s="82"/>
      <c r="Q84" s="485" t="s">
        <v>26</v>
      </c>
    </row>
    <row r="85" spans="1:17" ht="63" customHeight="1" x14ac:dyDescent="0.2">
      <c r="A85" s="53"/>
      <c r="B85" s="54"/>
      <c r="C85" s="54"/>
      <c r="D85" s="486" t="s">
        <v>379</v>
      </c>
      <c r="E85" s="47">
        <f t="shared" si="27"/>
        <v>2331348.12</v>
      </c>
      <c r="F85" s="47">
        <f>2401000-11000-58651.88</f>
        <v>2331348.12</v>
      </c>
      <c r="G85" s="44">
        <v>0</v>
      </c>
      <c r="H85" s="256" t="s">
        <v>395</v>
      </c>
      <c r="I85" s="430" t="s">
        <v>389</v>
      </c>
      <c r="J85" s="411" t="s">
        <v>318</v>
      </c>
      <c r="K85" s="44">
        <f>2390000-58651.88</f>
        <v>2331348.12</v>
      </c>
      <c r="L85" s="44">
        <f t="shared" ref="L85:L89" si="30">F85-K85</f>
        <v>0</v>
      </c>
      <c r="M85" s="83">
        <v>2331348.12</v>
      </c>
      <c r="N85" s="83">
        <v>0</v>
      </c>
      <c r="O85" s="83">
        <v>100</v>
      </c>
      <c r="P85" s="83">
        <v>0</v>
      </c>
      <c r="Q85" s="484" t="s">
        <v>28</v>
      </c>
    </row>
    <row r="86" spans="1:17" ht="72" customHeight="1" x14ac:dyDescent="0.2">
      <c r="A86" s="53"/>
      <c r="B86" s="54"/>
      <c r="C86" s="54"/>
      <c r="D86" s="486" t="s">
        <v>446</v>
      </c>
      <c r="E86" s="47">
        <f t="shared" si="27"/>
        <v>2370477.66</v>
      </c>
      <c r="F86" s="47">
        <f>2401000-11000-19522.34</f>
        <v>2370477.66</v>
      </c>
      <c r="G86" s="44">
        <v>0</v>
      </c>
      <c r="H86" s="256" t="s">
        <v>395</v>
      </c>
      <c r="I86" s="430" t="s">
        <v>324</v>
      </c>
      <c r="J86" s="411" t="s">
        <v>318</v>
      </c>
      <c r="K86" s="44">
        <f>2390000-19522.34</f>
        <v>2370477.66</v>
      </c>
      <c r="L86" s="44">
        <f t="shared" si="30"/>
        <v>0</v>
      </c>
      <c r="M86" s="83">
        <v>2370477.66</v>
      </c>
      <c r="N86" s="83">
        <v>0</v>
      </c>
      <c r="O86" s="83">
        <v>100</v>
      </c>
      <c r="P86" s="83">
        <f>K86-M86</f>
        <v>0</v>
      </c>
      <c r="Q86" s="484" t="s">
        <v>28</v>
      </c>
    </row>
    <row r="87" spans="1:17" ht="69" x14ac:dyDescent="0.2">
      <c r="A87" s="53"/>
      <c r="B87" s="54"/>
      <c r="C87" s="54"/>
      <c r="D87" s="56" t="s">
        <v>269</v>
      </c>
      <c r="E87" s="47">
        <f t="shared" si="27"/>
        <v>2790000</v>
      </c>
      <c r="F87" s="47">
        <f>3724000-934000</f>
        <v>2790000</v>
      </c>
      <c r="G87" s="39">
        <v>0</v>
      </c>
      <c r="H87" s="256" t="s">
        <v>395</v>
      </c>
      <c r="I87" s="430" t="s">
        <v>481</v>
      </c>
      <c r="J87" s="411" t="s">
        <v>318</v>
      </c>
      <c r="K87" s="39">
        <v>2790000</v>
      </c>
      <c r="L87" s="44">
        <f t="shared" si="30"/>
        <v>0</v>
      </c>
      <c r="M87" s="82">
        <f>1095600.22+1674000</f>
        <v>2769600.2199999997</v>
      </c>
      <c r="N87" s="83">
        <f>F87-M87-P87</f>
        <v>2.6193447411060333E-10</v>
      </c>
      <c r="O87" s="83">
        <v>100</v>
      </c>
      <c r="P87" s="82">
        <v>20399.78</v>
      </c>
      <c r="Q87" s="485" t="s">
        <v>25</v>
      </c>
    </row>
    <row r="88" spans="1:17" ht="63" customHeight="1" x14ac:dyDescent="0.2">
      <c r="A88" s="53"/>
      <c r="B88" s="54"/>
      <c r="C88" s="54"/>
      <c r="D88" s="486" t="s">
        <v>191</v>
      </c>
      <c r="E88" s="47">
        <f t="shared" si="27"/>
        <v>2355158.66</v>
      </c>
      <c r="F88" s="47">
        <f>2401000-11000-34841.34</f>
        <v>2355158.66</v>
      </c>
      <c r="G88" s="44">
        <v>0</v>
      </c>
      <c r="H88" s="256" t="s">
        <v>395</v>
      </c>
      <c r="I88" s="430" t="s">
        <v>389</v>
      </c>
      <c r="J88" s="482" t="s">
        <v>318</v>
      </c>
      <c r="K88" s="44">
        <f>2390000-34841.34</f>
        <v>2355158.66</v>
      </c>
      <c r="L88" s="44">
        <f t="shared" si="30"/>
        <v>0</v>
      </c>
      <c r="M88" s="83">
        <v>2355158.66</v>
      </c>
      <c r="N88" s="83">
        <v>0</v>
      </c>
      <c r="O88" s="83">
        <v>100</v>
      </c>
      <c r="P88" s="83">
        <v>0</v>
      </c>
      <c r="Q88" s="484" t="s">
        <v>28</v>
      </c>
    </row>
    <row r="89" spans="1:17" ht="112.5" x14ac:dyDescent="0.2">
      <c r="A89" s="53"/>
      <c r="B89" s="54"/>
      <c r="C89" s="54"/>
      <c r="D89" s="486" t="s">
        <v>192</v>
      </c>
      <c r="E89" s="47">
        <f t="shared" si="27"/>
        <v>2835000</v>
      </c>
      <c r="F89" s="38">
        <f>2940000-105000</f>
        <v>2835000</v>
      </c>
      <c r="G89" s="39">
        <v>0</v>
      </c>
      <c r="H89" s="256" t="s">
        <v>368</v>
      </c>
      <c r="I89" s="430" t="s">
        <v>388</v>
      </c>
      <c r="J89" s="411" t="s">
        <v>321</v>
      </c>
      <c r="K89" s="39">
        <v>2835000</v>
      </c>
      <c r="L89" s="44">
        <f t="shared" si="30"/>
        <v>0</v>
      </c>
      <c r="M89" s="82">
        <f>678924+708750</f>
        <v>1387674</v>
      </c>
      <c r="N89" s="83">
        <f t="shared" si="28"/>
        <v>1447326</v>
      </c>
      <c r="O89" s="83">
        <f t="shared" si="29"/>
        <v>48.947936507936511</v>
      </c>
      <c r="P89" s="83"/>
      <c r="Q89" s="484" t="s">
        <v>27</v>
      </c>
    </row>
    <row r="90" spans="1:17" s="387" customFormat="1" ht="24" customHeight="1" x14ac:dyDescent="0.2">
      <c r="A90" s="36"/>
      <c r="B90" s="37"/>
      <c r="C90" s="672" t="s">
        <v>148</v>
      </c>
      <c r="D90" s="673"/>
      <c r="E90" s="35">
        <f>F90+G90</f>
        <v>5396100</v>
      </c>
      <c r="F90" s="35">
        <f>F91+F92+F93+F94+F95</f>
        <v>5396100</v>
      </c>
      <c r="G90" s="35">
        <f>G91+G92+G93+G94</f>
        <v>0</v>
      </c>
      <c r="H90" s="403"/>
      <c r="I90" s="404"/>
      <c r="J90" s="403"/>
      <c r="K90" s="35">
        <f t="shared" ref="K90:M90" si="31">K91+K92+K93+K94</f>
        <v>5396100</v>
      </c>
      <c r="L90" s="35">
        <f t="shared" si="31"/>
        <v>0</v>
      </c>
      <c r="M90" s="90">
        <f t="shared" si="31"/>
        <v>5104374.1100000003</v>
      </c>
      <c r="N90" s="90">
        <f>N91+N92+N93+N94+N95</f>
        <v>0</v>
      </c>
      <c r="O90" s="90">
        <f>M90*100/K90</f>
        <v>94.593764200070439</v>
      </c>
      <c r="P90" s="90">
        <f>P91+P92+P93+P94+P95</f>
        <v>291725.89</v>
      </c>
      <c r="Q90" s="45"/>
    </row>
    <row r="91" spans="1:17" ht="56.25" x14ac:dyDescent="0.2">
      <c r="A91" s="53"/>
      <c r="B91" s="54"/>
      <c r="C91" s="54"/>
      <c r="D91" s="340" t="s">
        <v>193</v>
      </c>
      <c r="E91" s="47">
        <f>F91</f>
        <v>850800</v>
      </c>
      <c r="F91" s="47">
        <f>852600-1800</f>
        <v>850800</v>
      </c>
      <c r="G91" s="44">
        <v>0</v>
      </c>
      <c r="H91" s="256" t="s">
        <v>395</v>
      </c>
      <c r="I91" s="430" t="s">
        <v>322</v>
      </c>
      <c r="J91" s="482" t="s">
        <v>323</v>
      </c>
      <c r="K91" s="44">
        <v>850800</v>
      </c>
      <c r="L91" s="44">
        <f>F91-K91</f>
        <v>0</v>
      </c>
      <c r="M91" s="83">
        <v>850800</v>
      </c>
      <c r="N91" s="83">
        <f>K91-M91</f>
        <v>0</v>
      </c>
      <c r="O91" s="83">
        <f>M91*100/K91</f>
        <v>100</v>
      </c>
      <c r="P91" s="83"/>
      <c r="Q91" s="45" t="s">
        <v>24</v>
      </c>
    </row>
    <row r="92" spans="1:17" ht="51.75" x14ac:dyDescent="0.2">
      <c r="A92" s="53"/>
      <c r="B92" s="54"/>
      <c r="C92" s="54"/>
      <c r="D92" s="56" t="s">
        <v>194</v>
      </c>
      <c r="E92" s="47">
        <f>F92</f>
        <v>1885000</v>
      </c>
      <c r="F92" s="47">
        <f>3780400-1895400</f>
        <v>1885000</v>
      </c>
      <c r="G92" s="44">
        <v>0</v>
      </c>
      <c r="H92" s="256" t="s">
        <v>395</v>
      </c>
      <c r="I92" s="430" t="s">
        <v>387</v>
      </c>
      <c r="J92" s="482" t="s">
        <v>326</v>
      </c>
      <c r="K92" s="44">
        <v>1885000</v>
      </c>
      <c r="L92" s="44">
        <f>F92-K92</f>
        <v>0</v>
      </c>
      <c r="M92" s="83">
        <v>1593274.11</v>
      </c>
      <c r="N92" s="83">
        <f>F92-M92-P92</f>
        <v>0</v>
      </c>
      <c r="O92" s="83">
        <v>100</v>
      </c>
      <c r="P92" s="83">
        <v>291725.89</v>
      </c>
      <c r="Q92" s="45" t="s">
        <v>24</v>
      </c>
    </row>
    <row r="93" spans="1:17" ht="56.25" x14ac:dyDescent="0.2">
      <c r="A93" s="55"/>
      <c r="B93" s="28"/>
      <c r="C93" s="28"/>
      <c r="D93" s="487" t="s">
        <v>195</v>
      </c>
      <c r="E93" s="47">
        <f>F93</f>
        <v>1450000</v>
      </c>
      <c r="F93" s="47">
        <f>1654200-204200</f>
        <v>1450000</v>
      </c>
      <c r="G93" s="39">
        <v>0</v>
      </c>
      <c r="H93" s="256" t="s">
        <v>395</v>
      </c>
      <c r="I93" s="488" t="s">
        <v>386</v>
      </c>
      <c r="J93" s="482" t="s">
        <v>323</v>
      </c>
      <c r="K93" s="39">
        <v>1450000</v>
      </c>
      <c r="L93" s="39">
        <f>F93-K93</f>
        <v>0</v>
      </c>
      <c r="M93" s="82">
        <v>1450000</v>
      </c>
      <c r="N93" s="83">
        <f t="shared" ref="N93:N94" si="32">F93-M93</f>
        <v>0</v>
      </c>
      <c r="O93" s="83">
        <f t="shared" ref="O93:O94" si="33">M93*100/K93</f>
        <v>100</v>
      </c>
      <c r="P93" s="82"/>
      <c r="Q93" s="50" t="s">
        <v>28</v>
      </c>
    </row>
    <row r="94" spans="1:17" ht="56.25" x14ac:dyDescent="0.2">
      <c r="A94" s="53"/>
      <c r="B94" s="54"/>
      <c r="C94" s="54"/>
      <c r="D94" s="56" t="s">
        <v>196</v>
      </c>
      <c r="E94" s="47">
        <f>F94</f>
        <v>1210300</v>
      </c>
      <c r="F94" s="47">
        <f>1211300-1000</f>
        <v>1210300</v>
      </c>
      <c r="G94" s="39">
        <v>0</v>
      </c>
      <c r="H94" s="256" t="s">
        <v>395</v>
      </c>
      <c r="I94" s="488" t="s">
        <v>386</v>
      </c>
      <c r="J94" s="482" t="s">
        <v>323</v>
      </c>
      <c r="K94" s="39">
        <v>1210300</v>
      </c>
      <c r="L94" s="39">
        <f>F94-K94</f>
        <v>0</v>
      </c>
      <c r="M94" s="82">
        <v>1210300</v>
      </c>
      <c r="N94" s="83">
        <f t="shared" si="32"/>
        <v>0</v>
      </c>
      <c r="O94" s="83">
        <f t="shared" si="33"/>
        <v>100</v>
      </c>
      <c r="P94" s="83"/>
      <c r="Q94" s="45" t="s">
        <v>28</v>
      </c>
    </row>
    <row r="95" spans="1:17" ht="42" x14ac:dyDescent="0.2">
      <c r="A95" s="53"/>
      <c r="B95" s="54"/>
      <c r="C95" s="54"/>
      <c r="D95" s="56" t="s">
        <v>197</v>
      </c>
      <c r="E95" s="47">
        <f>F95</f>
        <v>0</v>
      </c>
      <c r="F95" s="489">
        <f>736500-736500</f>
        <v>0</v>
      </c>
      <c r="G95" s="490">
        <v>0</v>
      </c>
      <c r="H95" s="288" t="s">
        <v>272</v>
      </c>
      <c r="I95" s="491"/>
      <c r="J95" s="492"/>
      <c r="K95" s="493"/>
      <c r="L95" s="493"/>
      <c r="M95" s="494"/>
      <c r="N95" s="91">
        <v>0</v>
      </c>
      <c r="O95" s="83">
        <v>0</v>
      </c>
      <c r="P95" s="83"/>
      <c r="Q95" s="45" t="s">
        <v>27</v>
      </c>
    </row>
    <row r="96" spans="1:17" s="387" customFormat="1" x14ac:dyDescent="0.2">
      <c r="A96" s="41"/>
      <c r="B96" s="674" t="s">
        <v>149</v>
      </c>
      <c r="C96" s="674"/>
      <c r="D96" s="675"/>
      <c r="E96" s="138">
        <f>F96+G96</f>
        <v>51322625</v>
      </c>
      <c r="F96" s="138">
        <f>F97</f>
        <v>51322625</v>
      </c>
      <c r="G96" s="138">
        <f>G97</f>
        <v>0</v>
      </c>
      <c r="H96" s="426"/>
      <c r="I96" s="427"/>
      <c r="J96" s="426"/>
      <c r="K96" s="138">
        <f t="shared" ref="K96:P96" si="34">K97</f>
        <v>51322625</v>
      </c>
      <c r="L96" s="138">
        <f t="shared" si="34"/>
        <v>0</v>
      </c>
      <c r="M96" s="428">
        <f t="shared" si="34"/>
        <v>32775803.52</v>
      </c>
      <c r="N96" s="428">
        <f t="shared" si="34"/>
        <v>14768900</v>
      </c>
      <c r="O96" s="428">
        <f>M96*100/R100</f>
        <v>68.936813342862962</v>
      </c>
      <c r="P96" s="428">
        <f t="shared" si="34"/>
        <v>3777921.48</v>
      </c>
      <c r="Q96" s="45"/>
    </row>
    <row r="97" spans="1:19" s="387" customFormat="1" x14ac:dyDescent="0.2">
      <c r="A97" s="48"/>
      <c r="B97" s="49"/>
      <c r="C97" s="680" t="s">
        <v>150</v>
      </c>
      <c r="D97" s="681"/>
      <c r="E97" s="35">
        <f>F97+G97</f>
        <v>51322625</v>
      </c>
      <c r="F97" s="35">
        <f>F98+F99+F100+F101+F102</f>
        <v>51322625</v>
      </c>
      <c r="G97" s="35">
        <f>G98+G99+G100+G101+G102</f>
        <v>0</v>
      </c>
      <c r="H97" s="403"/>
      <c r="I97" s="404"/>
      <c r="J97" s="403"/>
      <c r="K97" s="35">
        <f t="shared" ref="K97:P97" si="35">K98+K99+K100+K101+K102</f>
        <v>51322625</v>
      </c>
      <c r="L97" s="35">
        <f t="shared" si="35"/>
        <v>0</v>
      </c>
      <c r="M97" s="90">
        <f t="shared" si="35"/>
        <v>32775803.52</v>
      </c>
      <c r="N97" s="90">
        <f t="shared" si="35"/>
        <v>14768900</v>
      </c>
      <c r="O97" s="90">
        <f>M97*100/R100</f>
        <v>68.936813342862962</v>
      </c>
      <c r="P97" s="90">
        <f t="shared" si="35"/>
        <v>3777921.48</v>
      </c>
      <c r="Q97" s="45"/>
      <c r="R97" s="387" t="s">
        <v>5</v>
      </c>
    </row>
    <row r="98" spans="1:19" ht="51.75" x14ac:dyDescent="0.2">
      <c r="A98" s="53"/>
      <c r="B98" s="54"/>
      <c r="C98" s="54"/>
      <c r="D98" s="340" t="s">
        <v>198</v>
      </c>
      <c r="E98" s="38">
        <f>F98</f>
        <v>9898000</v>
      </c>
      <c r="F98" s="38">
        <f>9900000-2000</f>
        <v>9898000</v>
      </c>
      <c r="G98" s="44">
        <v>0</v>
      </c>
      <c r="H98" s="288" t="s">
        <v>395</v>
      </c>
      <c r="I98" s="430" t="s">
        <v>429</v>
      </c>
      <c r="J98" s="256" t="s">
        <v>373</v>
      </c>
      <c r="K98" s="39">
        <v>9898000</v>
      </c>
      <c r="L98" s="39">
        <f>F98-K98</f>
        <v>0</v>
      </c>
      <c r="M98" s="82">
        <v>6985958.5</v>
      </c>
      <c r="N98" s="82">
        <f>K98-M98-P98</f>
        <v>0</v>
      </c>
      <c r="O98" s="82">
        <v>100</v>
      </c>
      <c r="P98" s="82">
        <f>K98-M98</f>
        <v>2912041.5</v>
      </c>
      <c r="Q98" s="386" t="s">
        <v>29</v>
      </c>
      <c r="R98" s="393">
        <f>M7-R7</f>
        <v>33420828.909999996</v>
      </c>
      <c r="S98" s="394">
        <f>R98*100/G7</f>
        <v>44.582921122736053</v>
      </c>
    </row>
    <row r="99" spans="1:19" ht="51.75" x14ac:dyDescent="0.2">
      <c r="A99" s="53"/>
      <c r="B99" s="54"/>
      <c r="C99" s="54"/>
      <c r="D99" s="340" t="s">
        <v>199</v>
      </c>
      <c r="E99" s="38">
        <f>F99</f>
        <v>11873770</v>
      </c>
      <c r="F99" s="47">
        <f>11880000-6230</f>
        <v>11873770</v>
      </c>
      <c r="G99" s="44">
        <v>0</v>
      </c>
      <c r="H99" s="288" t="s">
        <v>395</v>
      </c>
      <c r="I99" s="430" t="s">
        <v>430</v>
      </c>
      <c r="J99" s="256" t="s">
        <v>373</v>
      </c>
      <c r="K99" s="44">
        <v>11873770</v>
      </c>
      <c r="L99" s="39">
        <f t="shared" ref="L99:L102" si="36">F99-K99</f>
        <v>0</v>
      </c>
      <c r="M99" s="83">
        <v>11873770</v>
      </c>
      <c r="N99" s="82">
        <f t="shared" ref="N99:N102" si="37">K99-M99</f>
        <v>0</v>
      </c>
      <c r="O99" s="82">
        <f t="shared" ref="O99" si="38">M99*100/K99</f>
        <v>100</v>
      </c>
      <c r="P99" s="82"/>
      <c r="Q99" s="40" t="s">
        <v>29</v>
      </c>
    </row>
    <row r="100" spans="1:19" ht="51.75" x14ac:dyDescent="0.2">
      <c r="A100" s="53"/>
      <c r="B100" s="54"/>
      <c r="C100" s="54"/>
      <c r="D100" s="340" t="s">
        <v>200</v>
      </c>
      <c r="E100" s="38">
        <f>F100</f>
        <v>9884335</v>
      </c>
      <c r="F100" s="47">
        <f>9900000-15665</f>
        <v>9884335</v>
      </c>
      <c r="G100" s="44">
        <v>0</v>
      </c>
      <c r="H100" s="288" t="s">
        <v>395</v>
      </c>
      <c r="I100" s="430" t="s">
        <v>429</v>
      </c>
      <c r="J100" s="256" t="s">
        <v>373</v>
      </c>
      <c r="K100" s="495">
        <v>9884335</v>
      </c>
      <c r="L100" s="39">
        <f t="shared" si="36"/>
        <v>0</v>
      </c>
      <c r="M100" s="82">
        <v>9768522.5</v>
      </c>
      <c r="N100" s="82">
        <f>K100-M100-P100</f>
        <v>0</v>
      </c>
      <c r="O100" s="82">
        <v>100</v>
      </c>
      <c r="P100" s="82">
        <v>115812.5</v>
      </c>
      <c r="Q100" s="386" t="s">
        <v>29</v>
      </c>
      <c r="R100" s="551">
        <f>K97-P97</f>
        <v>47544703.520000003</v>
      </c>
    </row>
    <row r="101" spans="1:19" ht="51.75" x14ac:dyDescent="0.2">
      <c r="A101" s="53"/>
      <c r="B101" s="54"/>
      <c r="C101" s="54"/>
      <c r="D101" s="340" t="s">
        <v>151</v>
      </c>
      <c r="E101" s="38">
        <f>F101</f>
        <v>4897620</v>
      </c>
      <c r="F101" s="47">
        <f>4900000-2380</f>
        <v>4897620</v>
      </c>
      <c r="G101" s="44">
        <v>0</v>
      </c>
      <c r="H101" s="288" t="s">
        <v>395</v>
      </c>
      <c r="I101" s="430" t="s">
        <v>429</v>
      </c>
      <c r="J101" s="256" t="s">
        <v>373</v>
      </c>
      <c r="K101" s="44">
        <v>4897620</v>
      </c>
      <c r="L101" s="39">
        <f>F101-K101</f>
        <v>0</v>
      </c>
      <c r="M101" s="83">
        <v>4147552.52</v>
      </c>
      <c r="N101" s="82">
        <f>K101-M101-P101</f>
        <v>0</v>
      </c>
      <c r="O101" s="82">
        <v>100</v>
      </c>
      <c r="P101" s="82">
        <v>750067.48</v>
      </c>
      <c r="Q101" s="40" t="s">
        <v>29</v>
      </c>
    </row>
    <row r="102" spans="1:19" ht="56.25" x14ac:dyDescent="0.2">
      <c r="A102" s="53"/>
      <c r="B102" s="54"/>
      <c r="C102" s="54"/>
      <c r="D102" s="340" t="s">
        <v>201</v>
      </c>
      <c r="E102" s="38">
        <f>F102</f>
        <v>14768900</v>
      </c>
      <c r="F102" s="47">
        <f>14850000-81100</f>
        <v>14768900</v>
      </c>
      <c r="G102" s="44">
        <v>0</v>
      </c>
      <c r="H102" s="288" t="s">
        <v>468</v>
      </c>
      <c r="I102" s="430" t="s">
        <v>430</v>
      </c>
      <c r="J102" s="256" t="s">
        <v>373</v>
      </c>
      <c r="K102" s="44">
        <f>14768000+900</f>
        <v>14768900</v>
      </c>
      <c r="L102" s="39">
        <f t="shared" si="36"/>
        <v>0</v>
      </c>
      <c r="M102" s="83"/>
      <c r="N102" s="82">
        <f t="shared" si="37"/>
        <v>14768900</v>
      </c>
      <c r="O102" s="82">
        <f>M102*100/K102</f>
        <v>0</v>
      </c>
      <c r="P102" s="82"/>
      <c r="Q102" s="40" t="s">
        <v>29</v>
      </c>
    </row>
    <row r="103" spans="1:19" s="387" customFormat="1" ht="22.5" customHeight="1" x14ac:dyDescent="0.2">
      <c r="A103" s="41"/>
      <c r="B103" s="674" t="s">
        <v>152</v>
      </c>
      <c r="C103" s="674"/>
      <c r="D103" s="675"/>
      <c r="E103" s="138">
        <f>F103+G103</f>
        <v>5731000</v>
      </c>
      <c r="F103" s="138">
        <f>F104+F106+F111</f>
        <v>1980000</v>
      </c>
      <c r="G103" s="138">
        <f>G104+G106+G111</f>
        <v>3751000</v>
      </c>
      <c r="H103" s="426"/>
      <c r="I103" s="427"/>
      <c r="J103" s="426"/>
      <c r="K103" s="138">
        <f t="shared" ref="K103:P103" si="39">K104+K106+K111</f>
        <v>1980000</v>
      </c>
      <c r="L103" s="138">
        <f t="shared" si="39"/>
        <v>0</v>
      </c>
      <c r="M103" s="428">
        <f t="shared" si="39"/>
        <v>1289314.8</v>
      </c>
      <c r="N103" s="428">
        <f t="shared" si="39"/>
        <v>4441685.2</v>
      </c>
      <c r="O103" s="428">
        <f>M103*100/E103</f>
        <v>22.497204676321758</v>
      </c>
      <c r="P103" s="428">
        <f t="shared" si="39"/>
        <v>0</v>
      </c>
      <c r="Q103" s="45"/>
    </row>
    <row r="104" spans="1:19" s="387" customFormat="1" ht="44.25" customHeight="1" x14ac:dyDescent="0.2">
      <c r="A104" s="36"/>
      <c r="B104" s="37"/>
      <c r="C104" s="672" t="s">
        <v>153</v>
      </c>
      <c r="D104" s="673"/>
      <c r="E104" s="35">
        <f>F104+G104</f>
        <v>915500</v>
      </c>
      <c r="F104" s="35">
        <f>F105</f>
        <v>0</v>
      </c>
      <c r="G104" s="35">
        <f>G105</f>
        <v>915500</v>
      </c>
      <c r="H104" s="403"/>
      <c r="I104" s="404"/>
      <c r="J104" s="403"/>
      <c r="K104" s="35">
        <f t="shared" ref="K104:P104" si="40">K105</f>
        <v>0</v>
      </c>
      <c r="L104" s="35">
        <f t="shared" si="40"/>
        <v>0</v>
      </c>
      <c r="M104" s="90">
        <f t="shared" si="40"/>
        <v>886900</v>
      </c>
      <c r="N104" s="90">
        <f t="shared" si="40"/>
        <v>28600</v>
      </c>
      <c r="O104" s="90">
        <f>M104*100/G104</f>
        <v>96.876024030584375</v>
      </c>
      <c r="P104" s="90">
        <f t="shared" si="40"/>
        <v>0</v>
      </c>
      <c r="Q104" s="45"/>
    </row>
    <row r="105" spans="1:19" s="387" customFormat="1" ht="47.25" x14ac:dyDescent="0.2">
      <c r="A105" s="36"/>
      <c r="B105" s="37"/>
      <c r="C105" s="383"/>
      <c r="D105" s="340" t="s">
        <v>155</v>
      </c>
      <c r="E105" s="47">
        <f>G105</f>
        <v>915500</v>
      </c>
      <c r="F105" s="47">
        <v>0</v>
      </c>
      <c r="G105" s="44">
        <f>971400-55900</f>
        <v>915500</v>
      </c>
      <c r="H105" s="405" t="s">
        <v>355</v>
      </c>
      <c r="I105" s="408"/>
      <c r="J105" s="409"/>
      <c r="K105" s="44"/>
      <c r="L105" s="44"/>
      <c r="M105" s="83">
        <f>206900+16200+96000+15000+499200+19500+16500-55900+4179+63500+3740+1000+1081</f>
        <v>886900</v>
      </c>
      <c r="N105" s="83">
        <f>G105-M105-P105</f>
        <v>28600</v>
      </c>
      <c r="O105" s="83">
        <f>M105*100/G105</f>
        <v>96.876024030584375</v>
      </c>
      <c r="P105" s="83">
        <v>0</v>
      </c>
      <c r="Q105" s="40" t="s">
        <v>297</v>
      </c>
    </row>
    <row r="106" spans="1:19" s="387" customFormat="1" ht="44.25" customHeight="1" x14ac:dyDescent="0.2">
      <c r="A106" s="48"/>
      <c r="B106" s="49"/>
      <c r="C106" s="678" t="s">
        <v>154</v>
      </c>
      <c r="D106" s="679"/>
      <c r="E106" s="35">
        <f>F106+G106</f>
        <v>2835500</v>
      </c>
      <c r="F106" s="35">
        <f>F107+F110</f>
        <v>0</v>
      </c>
      <c r="G106" s="35">
        <f>G107+G110</f>
        <v>2835500</v>
      </c>
      <c r="H106" s="403"/>
      <c r="I106" s="404"/>
      <c r="J106" s="403"/>
      <c r="K106" s="35">
        <f t="shared" ref="K106:N106" si="41">K107+K110</f>
        <v>0</v>
      </c>
      <c r="L106" s="35">
        <f t="shared" si="41"/>
        <v>0</v>
      </c>
      <c r="M106" s="90">
        <f t="shared" si="41"/>
        <v>402414.8</v>
      </c>
      <c r="N106" s="90">
        <f t="shared" si="41"/>
        <v>2433085.2000000002</v>
      </c>
      <c r="O106" s="90">
        <f>M106*100/E106</f>
        <v>14.192022570975137</v>
      </c>
      <c r="P106" s="90">
        <f>P108+P110</f>
        <v>0</v>
      </c>
      <c r="Q106" s="45"/>
    </row>
    <row r="107" spans="1:19" s="387" customFormat="1" ht="63" x14ac:dyDescent="0.2">
      <c r="A107" s="36"/>
      <c r="B107" s="37"/>
      <c r="C107" s="383"/>
      <c r="D107" s="340" t="s">
        <v>156</v>
      </c>
      <c r="E107" s="47">
        <f>F107+G107</f>
        <v>335500</v>
      </c>
      <c r="F107" s="47">
        <f>F108+F109</f>
        <v>0</v>
      </c>
      <c r="G107" s="44">
        <f>G108+G109</f>
        <v>335500</v>
      </c>
      <c r="H107" s="409"/>
      <c r="I107" s="408"/>
      <c r="J107" s="409"/>
      <c r="K107" s="44">
        <f t="shared" ref="K107:N107" si="42">K108+K109</f>
        <v>0</v>
      </c>
      <c r="L107" s="44">
        <f t="shared" si="42"/>
        <v>0</v>
      </c>
      <c r="M107" s="83">
        <f t="shared" si="42"/>
        <v>330200</v>
      </c>
      <c r="N107" s="83">
        <f t="shared" si="42"/>
        <v>5300</v>
      </c>
      <c r="O107" s="91">
        <v>81.13</v>
      </c>
      <c r="P107" s="91"/>
      <c r="Q107" s="385" t="s">
        <v>295</v>
      </c>
    </row>
    <row r="108" spans="1:19" s="387" customFormat="1" ht="63" x14ac:dyDescent="0.2">
      <c r="A108" s="36"/>
      <c r="B108" s="37"/>
      <c r="C108" s="383"/>
      <c r="D108" s="340" t="s">
        <v>181</v>
      </c>
      <c r="E108" s="47"/>
      <c r="F108" s="47"/>
      <c r="G108" s="44">
        <f>400000-64500</f>
        <v>335500</v>
      </c>
      <c r="H108" s="405" t="s">
        <v>473</v>
      </c>
      <c r="I108" s="408"/>
      <c r="J108" s="409"/>
      <c r="K108" s="44"/>
      <c r="L108" s="44"/>
      <c r="M108" s="83">
        <f>197500+15000+50000+3750+1750+7000+15000+3750+1750+63500-34500+1400+4300</f>
        <v>330200</v>
      </c>
      <c r="N108" s="83">
        <f>G108-M108-P108</f>
        <v>5300</v>
      </c>
      <c r="O108" s="83">
        <f>M108*100/G108</f>
        <v>98.420268256333827</v>
      </c>
      <c r="P108" s="91">
        <v>0</v>
      </c>
      <c r="Q108" s="40" t="s">
        <v>295</v>
      </c>
    </row>
    <row r="109" spans="1:19" s="387" customFormat="1" ht="37.5" x14ac:dyDescent="0.2">
      <c r="A109" s="51"/>
      <c r="B109" s="52"/>
      <c r="C109" s="52"/>
      <c r="D109" s="496" t="s">
        <v>30</v>
      </c>
      <c r="E109" s="497">
        <f>F109</f>
        <v>0</v>
      </c>
      <c r="F109" s="451">
        <f>3528000-3528000</f>
        <v>0</v>
      </c>
      <c r="G109" s="452">
        <v>0</v>
      </c>
      <c r="H109" s="287" t="s">
        <v>272</v>
      </c>
      <c r="I109" s="498"/>
      <c r="J109" s="499"/>
      <c r="K109" s="452"/>
      <c r="L109" s="452"/>
      <c r="M109" s="82"/>
      <c r="N109" s="82"/>
      <c r="O109" s="82">
        <v>0</v>
      </c>
      <c r="P109" s="82"/>
      <c r="Q109" s="500"/>
    </row>
    <row r="110" spans="1:19" s="387" customFormat="1" ht="44.25" customHeight="1" x14ac:dyDescent="0.2">
      <c r="A110" s="48"/>
      <c r="B110" s="49"/>
      <c r="C110" s="478"/>
      <c r="D110" s="471" t="s">
        <v>157</v>
      </c>
      <c r="E110" s="472">
        <f>G110</f>
        <v>2500000</v>
      </c>
      <c r="F110" s="472">
        <v>0</v>
      </c>
      <c r="G110" s="473">
        <v>2500000</v>
      </c>
      <c r="H110" s="405" t="s">
        <v>355</v>
      </c>
      <c r="I110" s="474"/>
      <c r="J110" s="475"/>
      <c r="K110" s="476"/>
      <c r="L110" s="476"/>
      <c r="M110" s="477">
        <f>44750+22500+4964.8</f>
        <v>72214.8</v>
      </c>
      <c r="N110" s="477">
        <f>G110-M110</f>
        <v>2427785.2000000002</v>
      </c>
      <c r="O110" s="477">
        <f>M110*100/G110</f>
        <v>2.888592</v>
      </c>
      <c r="P110" s="477"/>
      <c r="Q110" s="385" t="s">
        <v>21</v>
      </c>
    </row>
    <row r="111" spans="1:19" s="387" customFormat="1" ht="26.25" customHeight="1" x14ac:dyDescent="0.2">
      <c r="A111" s="48"/>
      <c r="B111" s="49"/>
      <c r="C111" s="678" t="s">
        <v>158</v>
      </c>
      <c r="D111" s="679"/>
      <c r="E111" s="421">
        <f>F111+G111</f>
        <v>1980000</v>
      </c>
      <c r="F111" s="421">
        <f>F112</f>
        <v>1980000</v>
      </c>
      <c r="G111" s="421">
        <f>G112</f>
        <v>0</v>
      </c>
      <c r="H111" s="422"/>
      <c r="I111" s="423"/>
      <c r="J111" s="422"/>
      <c r="K111" s="421">
        <f t="shared" ref="K111:N111" si="43">K112</f>
        <v>1980000</v>
      </c>
      <c r="L111" s="421">
        <f t="shared" si="43"/>
        <v>0</v>
      </c>
      <c r="M111" s="424">
        <f t="shared" si="43"/>
        <v>0</v>
      </c>
      <c r="N111" s="424">
        <f t="shared" si="43"/>
        <v>1980000</v>
      </c>
      <c r="O111" s="424">
        <f>M111*100/K111</f>
        <v>0</v>
      </c>
      <c r="P111" s="424"/>
      <c r="Q111" s="45"/>
    </row>
    <row r="112" spans="1:19" s="387" customFormat="1" ht="51.75" x14ac:dyDescent="0.2">
      <c r="A112" s="36"/>
      <c r="B112" s="37"/>
      <c r="C112" s="37"/>
      <c r="D112" s="340" t="s">
        <v>270</v>
      </c>
      <c r="E112" s="47">
        <f>F112</f>
        <v>1980000</v>
      </c>
      <c r="F112" s="47">
        <f>2178000-198000</f>
        <v>1980000</v>
      </c>
      <c r="G112" s="44">
        <v>0</v>
      </c>
      <c r="H112" s="257" t="s">
        <v>368</v>
      </c>
      <c r="I112" s="430" t="s">
        <v>456</v>
      </c>
      <c r="J112" s="256" t="s">
        <v>312</v>
      </c>
      <c r="K112" s="44">
        <v>1980000</v>
      </c>
      <c r="L112" s="44">
        <f>F112-K112</f>
        <v>0</v>
      </c>
      <c r="M112" s="83"/>
      <c r="N112" s="83">
        <f>K112-M112</f>
        <v>1980000</v>
      </c>
      <c r="O112" s="83">
        <f>M112*100/K112</f>
        <v>0</v>
      </c>
      <c r="P112" s="83"/>
      <c r="Q112" s="40" t="s">
        <v>31</v>
      </c>
    </row>
    <row r="113" spans="1:17" s="387" customFormat="1" ht="24.75" customHeight="1" x14ac:dyDescent="0.2">
      <c r="A113" s="704" t="s">
        <v>32</v>
      </c>
      <c r="B113" s="704"/>
      <c r="C113" s="704"/>
      <c r="D113" s="704"/>
      <c r="E113" s="138">
        <f>F113+G113</f>
        <v>12967146</v>
      </c>
      <c r="F113" s="138">
        <f>F114+F117+F123+F129+F136</f>
        <v>520000</v>
      </c>
      <c r="G113" s="138">
        <f>G114+G117+G123+G129+G136</f>
        <v>12447146</v>
      </c>
      <c r="H113" s="426"/>
      <c r="I113" s="427"/>
      <c r="J113" s="426"/>
      <c r="K113" s="138">
        <f t="shared" ref="K113:P113" si="44">K114+K117+K123+K129+K136</f>
        <v>520000</v>
      </c>
      <c r="L113" s="138">
        <f t="shared" si="44"/>
        <v>0</v>
      </c>
      <c r="M113" s="428">
        <f t="shared" si="44"/>
        <v>6537474.6299999999</v>
      </c>
      <c r="N113" s="428">
        <f t="shared" si="44"/>
        <v>6429671.3700000001</v>
      </c>
      <c r="O113" s="428">
        <f>M113*100/E113</f>
        <v>50.415678438416599</v>
      </c>
      <c r="P113" s="428">
        <f t="shared" si="44"/>
        <v>0</v>
      </c>
      <c r="Q113" s="50"/>
    </row>
    <row r="114" spans="1:17" s="387" customFormat="1" ht="44.25" customHeight="1" x14ac:dyDescent="0.2">
      <c r="A114" s="41"/>
      <c r="B114" s="674" t="s">
        <v>33</v>
      </c>
      <c r="C114" s="674"/>
      <c r="D114" s="675"/>
      <c r="E114" s="138">
        <f>F114+G114</f>
        <v>275436</v>
      </c>
      <c r="F114" s="138">
        <f>F115</f>
        <v>0</v>
      </c>
      <c r="G114" s="138">
        <f>G115</f>
        <v>275436</v>
      </c>
      <c r="H114" s="426"/>
      <c r="I114" s="427"/>
      <c r="J114" s="426"/>
      <c r="K114" s="138">
        <f t="shared" ref="K114:P115" si="45">K115</f>
        <v>0</v>
      </c>
      <c r="L114" s="138">
        <f t="shared" si="45"/>
        <v>0</v>
      </c>
      <c r="M114" s="428">
        <f t="shared" si="45"/>
        <v>275436</v>
      </c>
      <c r="N114" s="428">
        <f t="shared" si="45"/>
        <v>0</v>
      </c>
      <c r="O114" s="428">
        <v>100</v>
      </c>
      <c r="P114" s="428">
        <f t="shared" si="45"/>
        <v>0</v>
      </c>
      <c r="Q114" s="45"/>
    </row>
    <row r="115" spans="1:17" s="387" customFormat="1" ht="42.75" customHeight="1" x14ac:dyDescent="0.2">
      <c r="A115" s="36"/>
      <c r="B115" s="37"/>
      <c r="C115" s="672" t="s">
        <v>34</v>
      </c>
      <c r="D115" s="673"/>
      <c r="E115" s="421">
        <f>F115+G115</f>
        <v>275436</v>
      </c>
      <c r="F115" s="421">
        <f>F116</f>
        <v>0</v>
      </c>
      <c r="G115" s="421">
        <f>G116</f>
        <v>275436</v>
      </c>
      <c r="H115" s="422"/>
      <c r="I115" s="423"/>
      <c r="J115" s="422"/>
      <c r="K115" s="421">
        <f t="shared" si="45"/>
        <v>0</v>
      </c>
      <c r="L115" s="421">
        <f t="shared" si="45"/>
        <v>0</v>
      </c>
      <c r="M115" s="424">
        <f t="shared" si="45"/>
        <v>275436</v>
      </c>
      <c r="N115" s="424">
        <f t="shared" si="45"/>
        <v>0</v>
      </c>
      <c r="O115" s="424">
        <v>100</v>
      </c>
      <c r="P115" s="424">
        <f t="shared" si="45"/>
        <v>0</v>
      </c>
      <c r="Q115" s="45"/>
    </row>
    <row r="116" spans="1:17" s="387" customFormat="1" ht="47.25" x14ac:dyDescent="0.2">
      <c r="A116" s="36"/>
      <c r="B116" s="37"/>
      <c r="C116" s="383"/>
      <c r="D116" s="340" t="s">
        <v>35</v>
      </c>
      <c r="E116" s="47">
        <f>G116</f>
        <v>275436</v>
      </c>
      <c r="F116" s="47">
        <v>0</v>
      </c>
      <c r="G116" s="44">
        <f>300000-24564</f>
        <v>275436</v>
      </c>
      <c r="H116" s="405" t="s">
        <v>395</v>
      </c>
      <c r="I116" s="408"/>
      <c r="J116" s="409"/>
      <c r="K116" s="44"/>
      <c r="L116" s="44"/>
      <c r="M116" s="83">
        <f>94500+540+844+22562+29000+484+540+22725+1260+1000+30500+540+844+22817+604+540+22470+19402+844+540+840+840+1200</f>
        <v>275436</v>
      </c>
      <c r="N116" s="83">
        <f>G116-M116-P116</f>
        <v>0</v>
      </c>
      <c r="O116" s="83">
        <v>100</v>
      </c>
      <c r="P116" s="83">
        <v>0</v>
      </c>
      <c r="Q116" s="40" t="s">
        <v>484</v>
      </c>
    </row>
    <row r="117" spans="1:17" s="387" customFormat="1" ht="45.75" customHeight="1" x14ac:dyDescent="0.2">
      <c r="A117" s="36"/>
      <c r="B117" s="672" t="s">
        <v>36</v>
      </c>
      <c r="C117" s="672"/>
      <c r="D117" s="673"/>
      <c r="E117" s="31">
        <f>E118+E120</f>
        <v>4304900</v>
      </c>
      <c r="F117" s="31">
        <f>F118+F120</f>
        <v>0</v>
      </c>
      <c r="G117" s="31">
        <f>G118+G120</f>
        <v>4304900</v>
      </c>
      <c r="H117" s="501"/>
      <c r="I117" s="502"/>
      <c r="J117" s="501"/>
      <c r="K117" s="31">
        <f t="shared" ref="K117:P117" si="46">K118+K120</f>
        <v>0</v>
      </c>
      <c r="L117" s="31">
        <f t="shared" si="46"/>
        <v>0</v>
      </c>
      <c r="M117" s="78">
        <f t="shared" si="46"/>
        <v>417100</v>
      </c>
      <c r="N117" s="78">
        <f t="shared" si="46"/>
        <v>3887800</v>
      </c>
      <c r="O117" s="503">
        <f t="shared" ref="O117:O122" si="47">M117*100/G117</f>
        <v>9.6889590931264369</v>
      </c>
      <c r="P117" s="78">
        <f t="shared" si="46"/>
        <v>0</v>
      </c>
      <c r="Q117" s="45"/>
    </row>
    <row r="118" spans="1:17" s="387" customFormat="1" x14ac:dyDescent="0.2">
      <c r="A118" s="48"/>
      <c r="B118" s="49"/>
      <c r="C118" s="672" t="s">
        <v>37</v>
      </c>
      <c r="D118" s="673"/>
      <c r="E118" s="35">
        <f>F118+G118</f>
        <v>304900</v>
      </c>
      <c r="F118" s="35">
        <f>F119</f>
        <v>0</v>
      </c>
      <c r="G118" s="35">
        <f>G119</f>
        <v>304900</v>
      </c>
      <c r="H118" s="403"/>
      <c r="I118" s="404"/>
      <c r="J118" s="403"/>
      <c r="K118" s="35">
        <f t="shared" ref="K118:M118" si="48">K119</f>
        <v>0</v>
      </c>
      <c r="L118" s="35">
        <f t="shared" si="48"/>
        <v>0</v>
      </c>
      <c r="M118" s="90">
        <f t="shared" si="48"/>
        <v>304900</v>
      </c>
      <c r="N118" s="90">
        <f>N119</f>
        <v>0</v>
      </c>
      <c r="O118" s="90">
        <f t="shared" si="47"/>
        <v>100</v>
      </c>
      <c r="P118" s="90">
        <f>P119</f>
        <v>0</v>
      </c>
      <c r="Q118" s="45"/>
    </row>
    <row r="119" spans="1:17" s="387" customFormat="1" ht="42" x14ac:dyDescent="0.2">
      <c r="A119" s="48"/>
      <c r="B119" s="49"/>
      <c r="C119" s="383"/>
      <c r="D119" s="340" t="s">
        <v>38</v>
      </c>
      <c r="E119" s="47">
        <f>G119</f>
        <v>304900</v>
      </c>
      <c r="F119" s="47">
        <v>0</v>
      </c>
      <c r="G119" s="44">
        <v>304900</v>
      </c>
      <c r="H119" s="411" t="s">
        <v>395</v>
      </c>
      <c r="I119" s="408"/>
      <c r="J119" s="409"/>
      <c r="K119" s="44"/>
      <c r="L119" s="44"/>
      <c r="M119" s="83">
        <f>158400+4500+72000+70000</f>
        <v>304900</v>
      </c>
      <c r="N119" s="83">
        <f>G119-M119</f>
        <v>0</v>
      </c>
      <c r="O119" s="83">
        <f t="shared" si="47"/>
        <v>100</v>
      </c>
      <c r="P119" s="83"/>
      <c r="Q119" s="40" t="s">
        <v>39</v>
      </c>
    </row>
    <row r="120" spans="1:17" s="387" customFormat="1" x14ac:dyDescent="0.2">
      <c r="A120" s="36"/>
      <c r="B120" s="37"/>
      <c r="C120" s="672" t="s">
        <v>40</v>
      </c>
      <c r="D120" s="673"/>
      <c r="E120" s="35">
        <f>F120+G120</f>
        <v>4000000</v>
      </c>
      <c r="F120" s="35">
        <f>F121+F122</f>
        <v>0</v>
      </c>
      <c r="G120" s="35">
        <f>G121+G122</f>
        <v>4000000</v>
      </c>
      <c r="H120" s="403"/>
      <c r="I120" s="404"/>
      <c r="J120" s="403"/>
      <c r="K120" s="35">
        <f t="shared" ref="K120:P120" si="49">K121+K122</f>
        <v>0</v>
      </c>
      <c r="L120" s="35">
        <f t="shared" si="49"/>
        <v>0</v>
      </c>
      <c r="M120" s="90">
        <f t="shared" si="49"/>
        <v>112200</v>
      </c>
      <c r="N120" s="90">
        <f t="shared" si="49"/>
        <v>3887800</v>
      </c>
      <c r="O120" s="90">
        <f t="shared" si="47"/>
        <v>2.8050000000000002</v>
      </c>
      <c r="P120" s="90">
        <f t="shared" si="49"/>
        <v>0</v>
      </c>
      <c r="Q120" s="45"/>
    </row>
    <row r="121" spans="1:17" s="387" customFormat="1" ht="37.5" x14ac:dyDescent="0.2">
      <c r="A121" s="36"/>
      <c r="B121" s="37"/>
      <c r="C121" s="383"/>
      <c r="D121" s="340" t="s">
        <v>41</v>
      </c>
      <c r="E121" s="458">
        <f>G121</f>
        <v>1000000</v>
      </c>
      <c r="F121" s="458">
        <v>0</v>
      </c>
      <c r="G121" s="459">
        <v>1000000</v>
      </c>
      <c r="H121" s="405" t="s">
        <v>355</v>
      </c>
      <c r="I121" s="461"/>
      <c r="J121" s="462"/>
      <c r="K121" s="459"/>
      <c r="L121" s="459"/>
      <c r="M121" s="463">
        <f>101200+11000</f>
        <v>112200</v>
      </c>
      <c r="N121" s="463">
        <f>G121-M121</f>
        <v>887800</v>
      </c>
      <c r="O121" s="463">
        <f t="shared" si="47"/>
        <v>11.22</v>
      </c>
      <c r="P121" s="463"/>
      <c r="Q121" s="40" t="s">
        <v>22</v>
      </c>
    </row>
    <row r="122" spans="1:17" s="387" customFormat="1" ht="42" x14ac:dyDescent="0.2">
      <c r="A122" s="36"/>
      <c r="B122" s="37"/>
      <c r="C122" s="37"/>
      <c r="D122" s="340" t="s">
        <v>42</v>
      </c>
      <c r="E122" s="458">
        <f>G122</f>
        <v>3000000</v>
      </c>
      <c r="F122" s="47">
        <v>0</v>
      </c>
      <c r="G122" s="44">
        <v>3000000</v>
      </c>
      <c r="H122" s="405" t="s">
        <v>355</v>
      </c>
      <c r="I122" s="408"/>
      <c r="J122" s="409"/>
      <c r="K122" s="44"/>
      <c r="L122" s="44"/>
      <c r="M122" s="83"/>
      <c r="N122" s="463">
        <f>G122-M122</f>
        <v>3000000</v>
      </c>
      <c r="O122" s="463">
        <f t="shared" si="47"/>
        <v>0</v>
      </c>
      <c r="P122" s="463"/>
      <c r="Q122" s="449" t="s">
        <v>22</v>
      </c>
    </row>
    <row r="123" spans="1:17" s="387" customFormat="1" ht="45.75" customHeight="1" x14ac:dyDescent="0.2">
      <c r="A123" s="41"/>
      <c r="B123" s="674" t="s">
        <v>43</v>
      </c>
      <c r="C123" s="674"/>
      <c r="D123" s="675"/>
      <c r="E123" s="138">
        <f>F123+G123</f>
        <v>3518010</v>
      </c>
      <c r="F123" s="138">
        <f>F124</f>
        <v>495000</v>
      </c>
      <c r="G123" s="138">
        <f>G124</f>
        <v>3023010</v>
      </c>
      <c r="H123" s="426"/>
      <c r="I123" s="427"/>
      <c r="J123" s="426"/>
      <c r="K123" s="138">
        <f t="shared" ref="K123:P123" si="50">K124</f>
        <v>495000</v>
      </c>
      <c r="L123" s="138">
        <f t="shared" si="50"/>
        <v>0</v>
      </c>
      <c r="M123" s="428">
        <f t="shared" si="50"/>
        <v>3326610</v>
      </c>
      <c r="N123" s="428">
        <f t="shared" si="50"/>
        <v>191400</v>
      </c>
      <c r="O123" s="428">
        <f>M123*100/E123</f>
        <v>94.559424219942528</v>
      </c>
      <c r="P123" s="428">
        <f t="shared" si="50"/>
        <v>0</v>
      </c>
      <c r="Q123" s="50"/>
    </row>
    <row r="124" spans="1:17" s="387" customFormat="1" ht="45.75" customHeight="1" x14ac:dyDescent="0.2">
      <c r="A124" s="36"/>
      <c r="B124" s="37"/>
      <c r="C124" s="672" t="s">
        <v>44</v>
      </c>
      <c r="D124" s="673"/>
      <c r="E124" s="35">
        <f>F124+G124</f>
        <v>3518010</v>
      </c>
      <c r="F124" s="35">
        <f>F125+F128</f>
        <v>495000</v>
      </c>
      <c r="G124" s="35">
        <f>G125+G128</f>
        <v>3023010</v>
      </c>
      <c r="H124" s="403"/>
      <c r="I124" s="404"/>
      <c r="J124" s="403"/>
      <c r="K124" s="35">
        <f t="shared" ref="K124:P124" si="51">K125+K128</f>
        <v>495000</v>
      </c>
      <c r="L124" s="35">
        <f t="shared" si="51"/>
        <v>0</v>
      </c>
      <c r="M124" s="90">
        <f t="shared" si="51"/>
        <v>3326610</v>
      </c>
      <c r="N124" s="90">
        <f t="shared" si="51"/>
        <v>191400</v>
      </c>
      <c r="O124" s="90">
        <f>M124*100/E124</f>
        <v>94.559424219942528</v>
      </c>
      <c r="P124" s="90">
        <f t="shared" si="51"/>
        <v>0</v>
      </c>
      <c r="Q124" s="45"/>
    </row>
    <row r="125" spans="1:17" s="387" customFormat="1" ht="43.5" customHeight="1" x14ac:dyDescent="0.2">
      <c r="A125" s="36"/>
      <c r="B125" s="37"/>
      <c r="C125" s="37"/>
      <c r="D125" s="340" t="s">
        <v>159</v>
      </c>
      <c r="E125" s="47">
        <f>F125+G125</f>
        <v>2566900</v>
      </c>
      <c r="F125" s="47">
        <f>F126+F127</f>
        <v>495000</v>
      </c>
      <c r="G125" s="44">
        <f>G126+G127</f>
        <v>2071900</v>
      </c>
      <c r="H125" s="409"/>
      <c r="I125" s="408"/>
      <c r="J125" s="409"/>
      <c r="K125" s="44">
        <f t="shared" ref="K125:N125" si="52">K126+K127</f>
        <v>495000</v>
      </c>
      <c r="L125" s="44">
        <f t="shared" si="52"/>
        <v>0</v>
      </c>
      <c r="M125" s="83">
        <f t="shared" si="52"/>
        <v>2558600</v>
      </c>
      <c r="N125" s="83">
        <f t="shared" si="52"/>
        <v>8300</v>
      </c>
      <c r="O125" s="83">
        <f>M125*100/E125</f>
        <v>99.676652771825943</v>
      </c>
      <c r="P125" s="83"/>
      <c r="Q125" s="40" t="s">
        <v>39</v>
      </c>
    </row>
    <row r="126" spans="1:17" s="387" customFormat="1" ht="37.5" x14ac:dyDescent="0.2">
      <c r="A126" s="36"/>
      <c r="B126" s="37"/>
      <c r="C126" s="37"/>
      <c r="D126" s="340" t="s">
        <v>181</v>
      </c>
      <c r="E126" s="47">
        <f>G126</f>
        <v>2071900</v>
      </c>
      <c r="F126" s="47"/>
      <c r="G126" s="44">
        <v>2071900</v>
      </c>
      <c r="H126" s="405" t="s">
        <v>355</v>
      </c>
      <c r="I126" s="408"/>
      <c r="J126" s="409"/>
      <c r="K126" s="44"/>
      <c r="L126" s="44"/>
      <c r="M126" s="83">
        <f>20700+16800+20700+18000+77175+20700+13800+25200+18000+20700+20700+30000+30000+6000+6000+1500+1500+500+500+9450+6900+13800+70000+40000+60025+500+3000+500+500+6000+10500+25000+2000+32950+6800+3000+500+24000+31200+500+280000+3000+105000+180000+360000+320000+120000</f>
        <v>2063600</v>
      </c>
      <c r="N126" s="83">
        <f>G126-M126</f>
        <v>8300</v>
      </c>
      <c r="O126" s="83">
        <f>M126*100/G126</f>
        <v>99.599401515517158</v>
      </c>
      <c r="P126" s="83"/>
      <c r="Q126" s="40"/>
    </row>
    <row r="127" spans="1:17" s="387" customFormat="1" ht="51.75" x14ac:dyDescent="0.2">
      <c r="A127" s="41"/>
      <c r="B127" s="42"/>
      <c r="C127" s="42"/>
      <c r="D127" s="43" t="s">
        <v>45</v>
      </c>
      <c r="E127" s="38">
        <f>F127</f>
        <v>495000</v>
      </c>
      <c r="F127" s="38">
        <v>495000</v>
      </c>
      <c r="G127" s="39">
        <v>0</v>
      </c>
      <c r="H127" s="257" t="s">
        <v>395</v>
      </c>
      <c r="I127" s="430" t="s">
        <v>385</v>
      </c>
      <c r="J127" s="482" t="s">
        <v>328</v>
      </c>
      <c r="K127" s="44">
        <v>495000</v>
      </c>
      <c r="L127" s="39">
        <f>F127-K127</f>
        <v>0</v>
      </c>
      <c r="M127" s="82">
        <v>495000</v>
      </c>
      <c r="N127" s="82">
        <f>F127-M127</f>
        <v>0</v>
      </c>
      <c r="O127" s="82">
        <f>M127*100/K127</f>
        <v>100</v>
      </c>
      <c r="P127" s="82"/>
      <c r="Q127" s="386"/>
    </row>
    <row r="128" spans="1:17" s="387" customFormat="1" ht="42" x14ac:dyDescent="0.2">
      <c r="A128" s="41"/>
      <c r="B128" s="42"/>
      <c r="C128" s="42"/>
      <c r="D128" s="43" t="s">
        <v>561</v>
      </c>
      <c r="E128" s="47">
        <f>G128</f>
        <v>951110</v>
      </c>
      <c r="F128" s="47">
        <v>0</v>
      </c>
      <c r="G128" s="39">
        <f>1201900-250790</f>
        <v>951110</v>
      </c>
      <c r="H128" s="405" t="s">
        <v>355</v>
      </c>
      <c r="I128" s="406"/>
      <c r="J128" s="407"/>
      <c r="K128" s="39"/>
      <c r="L128" s="39"/>
      <c r="M128" s="82">
        <f>108200+18450+18450+18450+18450+78050+18450+18450+31500+6570+13530+18450+37065+2000+15000+17600+18450+37065+13530+900+18450+18450+18450+18450+12300+12300+50000+37500+6000+67500</f>
        <v>768010</v>
      </c>
      <c r="N128" s="82">
        <f>G128-M128-P128</f>
        <v>183100</v>
      </c>
      <c r="O128" s="82">
        <f>M128*100/G128</f>
        <v>80.748809285992152</v>
      </c>
      <c r="P128" s="82">
        <v>0</v>
      </c>
      <c r="Q128" s="386" t="s">
        <v>39</v>
      </c>
    </row>
    <row r="129" spans="1:17" s="387" customFormat="1" ht="23.25" customHeight="1" x14ac:dyDescent="0.2">
      <c r="A129" s="33"/>
      <c r="B129" s="674" t="s">
        <v>46</v>
      </c>
      <c r="C129" s="674"/>
      <c r="D129" s="675"/>
      <c r="E129" s="138">
        <f>F129+G129</f>
        <v>2565500</v>
      </c>
      <c r="F129" s="138">
        <f>F130</f>
        <v>25000</v>
      </c>
      <c r="G129" s="138">
        <f>G130</f>
        <v>2540500</v>
      </c>
      <c r="H129" s="426"/>
      <c r="I129" s="427"/>
      <c r="J129" s="426"/>
      <c r="K129" s="138">
        <f t="shared" ref="K129:P129" si="53">K130</f>
        <v>25000</v>
      </c>
      <c r="L129" s="138">
        <f t="shared" si="53"/>
        <v>0</v>
      </c>
      <c r="M129" s="428">
        <f>M130</f>
        <v>1767028.63</v>
      </c>
      <c r="N129" s="428">
        <f t="shared" si="53"/>
        <v>798471.37</v>
      </c>
      <c r="O129" s="428">
        <f>M129*100/E129</f>
        <v>68.876578834535181</v>
      </c>
      <c r="P129" s="428">
        <f t="shared" si="53"/>
        <v>0</v>
      </c>
      <c r="Q129" s="45"/>
    </row>
    <row r="130" spans="1:17" s="387" customFormat="1" ht="25.5" customHeight="1" x14ac:dyDescent="0.2">
      <c r="A130" s="36"/>
      <c r="B130" s="37"/>
      <c r="C130" s="672" t="s">
        <v>47</v>
      </c>
      <c r="D130" s="673"/>
      <c r="E130" s="35">
        <f>F130+G130</f>
        <v>2565500</v>
      </c>
      <c r="F130" s="35">
        <f>F131+F134+F135</f>
        <v>25000</v>
      </c>
      <c r="G130" s="35">
        <f>G131+G134+G135</f>
        <v>2540500</v>
      </c>
      <c r="H130" s="403"/>
      <c r="I130" s="404"/>
      <c r="J130" s="403"/>
      <c r="K130" s="35">
        <f t="shared" ref="K130:P130" si="54">K131+K134+K135</f>
        <v>25000</v>
      </c>
      <c r="L130" s="35">
        <f t="shared" si="54"/>
        <v>0</v>
      </c>
      <c r="M130" s="90">
        <f t="shared" si="54"/>
        <v>1767028.63</v>
      </c>
      <c r="N130" s="90">
        <f t="shared" si="54"/>
        <v>798471.37</v>
      </c>
      <c r="O130" s="90">
        <f>M130*100/E130</f>
        <v>68.876578834535181</v>
      </c>
      <c r="P130" s="90">
        <f t="shared" si="54"/>
        <v>0</v>
      </c>
      <c r="Q130" s="45"/>
    </row>
    <row r="131" spans="1:17" s="387" customFormat="1" ht="42" customHeight="1" x14ac:dyDescent="0.2">
      <c r="A131" s="48"/>
      <c r="B131" s="49"/>
      <c r="C131" s="49"/>
      <c r="D131" s="471" t="s">
        <v>48</v>
      </c>
      <c r="E131" s="472">
        <f>F131+G131</f>
        <v>899900</v>
      </c>
      <c r="F131" s="472">
        <f>F132+F133</f>
        <v>25000</v>
      </c>
      <c r="G131" s="472">
        <f>G132+G133</f>
        <v>874900</v>
      </c>
      <c r="H131" s="417"/>
      <c r="I131" s="504"/>
      <c r="J131" s="505"/>
      <c r="K131" s="472">
        <f t="shared" ref="K131:N131" si="55">K132+K133</f>
        <v>25000</v>
      </c>
      <c r="L131" s="472">
        <f t="shared" si="55"/>
        <v>0</v>
      </c>
      <c r="M131" s="506">
        <f>M132+M133</f>
        <v>684866.97</v>
      </c>
      <c r="N131" s="506">
        <f t="shared" si="55"/>
        <v>215033.03000000003</v>
      </c>
      <c r="O131" s="477">
        <f>M131*100/E131</f>
        <v>76.104786087343044</v>
      </c>
      <c r="P131" s="477"/>
      <c r="Q131" s="385" t="s">
        <v>14</v>
      </c>
    </row>
    <row r="132" spans="1:17" s="387" customFormat="1" ht="37.5" x14ac:dyDescent="0.2">
      <c r="A132" s="48"/>
      <c r="B132" s="49"/>
      <c r="C132" s="49"/>
      <c r="D132" s="471" t="s">
        <v>181</v>
      </c>
      <c r="E132" s="472"/>
      <c r="F132" s="507"/>
      <c r="G132" s="476">
        <v>874900</v>
      </c>
      <c r="H132" s="405" t="s">
        <v>355</v>
      </c>
      <c r="I132" s="474"/>
      <c r="J132" s="475"/>
      <c r="K132" s="476"/>
      <c r="L132" s="476"/>
      <c r="M132" s="477">
        <f>9935.48+4200+4766.66+26560+9354.83+120000+101510+13370+13000+10000+43720-450+13960+10000+125120+33600+38050+10000+16520+56650</f>
        <v>659866.97</v>
      </c>
      <c r="N132" s="477">
        <f>G132-M132</f>
        <v>215033.03000000003</v>
      </c>
      <c r="O132" s="477">
        <f>M132*100/G132</f>
        <v>75.421987655732082</v>
      </c>
      <c r="P132" s="477"/>
      <c r="Q132" s="385"/>
    </row>
    <row r="133" spans="1:17" s="387" customFormat="1" ht="55.5" customHeight="1" x14ac:dyDescent="0.2">
      <c r="A133" s="36"/>
      <c r="B133" s="37"/>
      <c r="C133" s="37"/>
      <c r="D133" s="340" t="s">
        <v>246</v>
      </c>
      <c r="E133" s="47"/>
      <c r="F133" s="47">
        <v>25000</v>
      </c>
      <c r="G133" s="44"/>
      <c r="H133" s="288" t="s">
        <v>395</v>
      </c>
      <c r="I133" s="430" t="s">
        <v>393</v>
      </c>
      <c r="J133" s="482" t="s">
        <v>330</v>
      </c>
      <c r="K133" s="44">
        <v>25000</v>
      </c>
      <c r="L133" s="44">
        <f>F133-K133</f>
        <v>0</v>
      </c>
      <c r="M133" s="83">
        <v>25000</v>
      </c>
      <c r="N133" s="83">
        <f>F133-M133</f>
        <v>0</v>
      </c>
      <c r="O133" s="83">
        <f>M133*100/K133</f>
        <v>100</v>
      </c>
      <c r="P133" s="83"/>
      <c r="Q133" s="40"/>
    </row>
    <row r="134" spans="1:17" s="387" customFormat="1" ht="42" customHeight="1" x14ac:dyDescent="0.2">
      <c r="A134" s="36"/>
      <c r="B134" s="37"/>
      <c r="C134" s="37"/>
      <c r="D134" s="340" t="s">
        <v>49</v>
      </c>
      <c r="E134" s="472">
        <f>F134+G134</f>
        <v>910900</v>
      </c>
      <c r="F134" s="47">
        <v>0</v>
      </c>
      <c r="G134" s="44">
        <v>910900</v>
      </c>
      <c r="H134" s="405" t="s">
        <v>355</v>
      </c>
      <c r="I134" s="408"/>
      <c r="J134" s="409"/>
      <c r="K134" s="44"/>
      <c r="L134" s="44"/>
      <c r="M134" s="83">
        <f>280400+5900+23150+15000+95850+39995+10000+120650+10000+38100+10000-3250-10000+10000+2666.66</f>
        <v>648461.66</v>
      </c>
      <c r="N134" s="83">
        <f>G134-M134</f>
        <v>262438.33999999997</v>
      </c>
      <c r="O134" s="83">
        <f>M134*100/G134</f>
        <v>71.189116258645299</v>
      </c>
      <c r="P134" s="83"/>
      <c r="Q134" s="40" t="s">
        <v>14</v>
      </c>
    </row>
    <row r="135" spans="1:17" s="387" customFormat="1" ht="59.25" customHeight="1" x14ac:dyDescent="0.2">
      <c r="A135" s="36"/>
      <c r="B135" s="37"/>
      <c r="C135" s="37"/>
      <c r="D135" s="141" t="s">
        <v>50</v>
      </c>
      <c r="E135" s="47">
        <f>F135+G135</f>
        <v>754700</v>
      </c>
      <c r="F135" s="47">
        <v>0</v>
      </c>
      <c r="G135" s="47">
        <f>1072200-317500</f>
        <v>754700</v>
      </c>
      <c r="H135" s="405" t="s">
        <v>355</v>
      </c>
      <c r="I135" s="416"/>
      <c r="J135" s="417"/>
      <c r="K135" s="47"/>
      <c r="L135" s="47"/>
      <c r="M135" s="91">
        <f>60200+11000+4945+8730+7820+15790+15215+310000</f>
        <v>433700</v>
      </c>
      <c r="N135" s="91">
        <f>G135-M135-P135</f>
        <v>321000</v>
      </c>
      <c r="O135" s="83">
        <f>M135*100/G135</f>
        <v>57.466542997217438</v>
      </c>
      <c r="P135" s="83">
        <v>0</v>
      </c>
      <c r="Q135" s="40" t="s">
        <v>51</v>
      </c>
    </row>
    <row r="136" spans="1:17" s="387" customFormat="1" ht="27" customHeight="1" x14ac:dyDescent="0.2">
      <c r="A136" s="41"/>
      <c r="B136" s="674" t="s">
        <v>52</v>
      </c>
      <c r="C136" s="674"/>
      <c r="D136" s="675"/>
      <c r="E136" s="138">
        <f>F136+G136</f>
        <v>2303300</v>
      </c>
      <c r="F136" s="138">
        <f>F137</f>
        <v>0</v>
      </c>
      <c r="G136" s="138">
        <f>G137</f>
        <v>2303300</v>
      </c>
      <c r="H136" s="426"/>
      <c r="I136" s="427"/>
      <c r="J136" s="426"/>
      <c r="K136" s="138">
        <f t="shared" ref="K136:P137" si="56">K137</f>
        <v>0</v>
      </c>
      <c r="L136" s="138">
        <f t="shared" si="56"/>
        <v>0</v>
      </c>
      <c r="M136" s="428">
        <f t="shared" si="56"/>
        <v>751300</v>
      </c>
      <c r="N136" s="428">
        <f t="shared" si="56"/>
        <v>1552000</v>
      </c>
      <c r="O136" s="428">
        <f>M136*100/G136</f>
        <v>32.618417053792385</v>
      </c>
      <c r="P136" s="428">
        <f t="shared" si="56"/>
        <v>0</v>
      </c>
      <c r="Q136" s="50"/>
    </row>
    <row r="137" spans="1:17" s="387" customFormat="1" ht="44.25" customHeight="1" x14ac:dyDescent="0.2">
      <c r="A137" s="48"/>
      <c r="B137" s="49"/>
      <c r="C137" s="678" t="s">
        <v>160</v>
      </c>
      <c r="D137" s="679"/>
      <c r="E137" s="35">
        <f>F137+G137</f>
        <v>2303300</v>
      </c>
      <c r="F137" s="35">
        <f>F138</f>
        <v>0</v>
      </c>
      <c r="G137" s="35">
        <f>G138</f>
        <v>2303300</v>
      </c>
      <c r="H137" s="403"/>
      <c r="I137" s="404"/>
      <c r="J137" s="403"/>
      <c r="K137" s="35">
        <f t="shared" si="56"/>
        <v>0</v>
      </c>
      <c r="L137" s="35">
        <f t="shared" si="56"/>
        <v>0</v>
      </c>
      <c r="M137" s="90">
        <f t="shared" si="56"/>
        <v>751300</v>
      </c>
      <c r="N137" s="90">
        <f t="shared" si="56"/>
        <v>1552000</v>
      </c>
      <c r="O137" s="90">
        <f>M137*100/G137</f>
        <v>32.618417053792385</v>
      </c>
      <c r="P137" s="90">
        <f t="shared" si="56"/>
        <v>0</v>
      </c>
      <c r="Q137" s="45"/>
    </row>
    <row r="138" spans="1:17" s="387" customFormat="1" ht="44.25" customHeight="1" x14ac:dyDescent="0.2">
      <c r="A138" s="36"/>
      <c r="B138" s="37"/>
      <c r="C138" s="383"/>
      <c r="D138" s="340" t="s">
        <v>161</v>
      </c>
      <c r="E138" s="47">
        <f>G138</f>
        <v>2303300</v>
      </c>
      <c r="F138" s="47">
        <v>0</v>
      </c>
      <c r="G138" s="39">
        <v>2303300</v>
      </c>
      <c r="H138" s="405" t="s">
        <v>355</v>
      </c>
      <c r="I138" s="406"/>
      <c r="J138" s="407"/>
      <c r="K138" s="39"/>
      <c r="L138" s="39"/>
      <c r="M138" s="82">
        <f>10500+740800</f>
        <v>751300</v>
      </c>
      <c r="N138" s="82">
        <f>G138-M138</f>
        <v>1552000</v>
      </c>
      <c r="O138" s="82">
        <f>M138*100/G138</f>
        <v>32.618417053792385</v>
      </c>
      <c r="P138" s="82"/>
      <c r="Q138" s="40" t="s">
        <v>53</v>
      </c>
    </row>
    <row r="139" spans="1:17" s="387" customFormat="1" ht="24" customHeight="1" x14ac:dyDescent="0.2">
      <c r="A139" s="671" t="s">
        <v>54</v>
      </c>
      <c r="B139" s="671"/>
      <c r="C139" s="671"/>
      <c r="D139" s="671"/>
      <c r="E139" s="90">
        <f>F139+G139</f>
        <v>22955601.899999999</v>
      </c>
      <c r="F139" s="90">
        <f>F140+F148+F153+F174</f>
        <v>4564185.9000000004</v>
      </c>
      <c r="G139" s="35">
        <f>G140+G148+G153+G174</f>
        <v>18391416</v>
      </c>
      <c r="H139" s="403"/>
      <c r="I139" s="404"/>
      <c r="J139" s="403"/>
      <c r="K139" s="35">
        <f t="shared" ref="K139:P139" si="57">K140+K148+K153+K174</f>
        <v>4564185.9000000004</v>
      </c>
      <c r="L139" s="90">
        <f t="shared" si="57"/>
        <v>0</v>
      </c>
      <c r="M139" s="90">
        <f t="shared" si="57"/>
        <v>16239246.9</v>
      </c>
      <c r="N139" s="90">
        <f t="shared" si="57"/>
        <v>6715150</v>
      </c>
      <c r="O139" s="90">
        <f>M139*100/E139</f>
        <v>70.741978235822259</v>
      </c>
      <c r="P139" s="90">
        <f t="shared" si="57"/>
        <v>1205</v>
      </c>
      <c r="Q139" s="45"/>
    </row>
    <row r="140" spans="1:17" s="387" customFormat="1" ht="47.25" customHeight="1" x14ac:dyDescent="0.2">
      <c r="A140" s="41"/>
      <c r="B140" s="674" t="s">
        <v>55</v>
      </c>
      <c r="C140" s="674"/>
      <c r="D140" s="675"/>
      <c r="E140" s="428">
        <f>F140+G140</f>
        <v>4564185.9000000004</v>
      </c>
      <c r="F140" s="428">
        <f>F141+F143</f>
        <v>4564185.9000000004</v>
      </c>
      <c r="G140" s="138">
        <f>G141+G143</f>
        <v>0</v>
      </c>
      <c r="H140" s="426"/>
      <c r="I140" s="427"/>
      <c r="J140" s="426"/>
      <c r="K140" s="138">
        <f t="shared" ref="K140:P140" si="58">K141+K143</f>
        <v>4564185.9000000004</v>
      </c>
      <c r="L140" s="428">
        <f t="shared" si="58"/>
        <v>0</v>
      </c>
      <c r="M140" s="428">
        <f t="shared" si="58"/>
        <v>4564185.9000000004</v>
      </c>
      <c r="N140" s="428">
        <f t="shared" si="58"/>
        <v>0</v>
      </c>
      <c r="O140" s="428">
        <f t="shared" ref="O140:O145" si="59">M140*100/K140</f>
        <v>100</v>
      </c>
      <c r="P140" s="428">
        <f t="shared" si="58"/>
        <v>0</v>
      </c>
      <c r="Q140" s="45"/>
    </row>
    <row r="141" spans="1:17" s="387" customFormat="1" ht="24" customHeight="1" x14ac:dyDescent="0.2">
      <c r="A141" s="36"/>
      <c r="B141" s="37"/>
      <c r="C141" s="672" t="s">
        <v>56</v>
      </c>
      <c r="D141" s="673"/>
      <c r="E141" s="32">
        <f>F141+G141</f>
        <v>1467500</v>
      </c>
      <c r="F141" s="32">
        <f>F142</f>
        <v>1467500</v>
      </c>
      <c r="G141" s="32">
        <f>G142</f>
        <v>0</v>
      </c>
      <c r="H141" s="395"/>
      <c r="I141" s="396"/>
      <c r="J141" s="395"/>
      <c r="K141" s="32">
        <f t="shared" ref="K141:N141" si="60">K142</f>
        <v>1467500</v>
      </c>
      <c r="L141" s="32">
        <f t="shared" si="60"/>
        <v>0</v>
      </c>
      <c r="M141" s="79">
        <f t="shared" si="60"/>
        <v>1467500</v>
      </c>
      <c r="N141" s="79">
        <f t="shared" si="60"/>
        <v>0</v>
      </c>
      <c r="O141" s="79">
        <f t="shared" si="59"/>
        <v>100</v>
      </c>
      <c r="P141" s="79"/>
      <c r="Q141" s="45"/>
    </row>
    <row r="142" spans="1:17" s="387" customFormat="1" ht="69" x14ac:dyDescent="0.2">
      <c r="A142" s="36"/>
      <c r="B142" s="37"/>
      <c r="C142" s="383"/>
      <c r="D142" s="340" t="s">
        <v>281</v>
      </c>
      <c r="E142" s="47">
        <f>F142</f>
        <v>1467500</v>
      </c>
      <c r="F142" s="47">
        <f>1980000-512500</f>
        <v>1467500</v>
      </c>
      <c r="G142" s="39">
        <v>0</v>
      </c>
      <c r="H142" s="288" t="s">
        <v>395</v>
      </c>
      <c r="I142" s="430" t="s">
        <v>431</v>
      </c>
      <c r="J142" s="411" t="s">
        <v>432</v>
      </c>
      <c r="K142" s="39">
        <v>1467500</v>
      </c>
      <c r="L142" s="39">
        <f>F142-K142</f>
        <v>0</v>
      </c>
      <c r="M142" s="82">
        <v>1467500</v>
      </c>
      <c r="N142" s="82">
        <f>K142-M142</f>
        <v>0</v>
      </c>
      <c r="O142" s="82">
        <f t="shared" si="59"/>
        <v>100</v>
      </c>
      <c r="P142" s="82"/>
      <c r="Q142" s="449" t="s">
        <v>282</v>
      </c>
    </row>
    <row r="143" spans="1:17" s="387" customFormat="1" ht="24.75" customHeight="1" x14ac:dyDescent="0.2">
      <c r="A143" s="33"/>
      <c r="B143" s="46"/>
      <c r="C143" s="687" t="s">
        <v>58</v>
      </c>
      <c r="D143" s="688"/>
      <c r="E143" s="508">
        <f>F143+G143</f>
        <v>3096685.9</v>
      </c>
      <c r="F143" s="90">
        <f>F144</f>
        <v>3096685.9</v>
      </c>
      <c r="G143" s="35">
        <f>G144</f>
        <v>0</v>
      </c>
      <c r="H143" s="509"/>
      <c r="I143" s="510"/>
      <c r="J143" s="509"/>
      <c r="K143" s="511">
        <f t="shared" ref="K143:P143" si="61">K144</f>
        <v>3096685.9</v>
      </c>
      <c r="L143" s="508">
        <f t="shared" si="61"/>
        <v>0</v>
      </c>
      <c r="M143" s="508">
        <f t="shared" si="61"/>
        <v>3096685.9</v>
      </c>
      <c r="N143" s="508">
        <f t="shared" si="61"/>
        <v>0</v>
      </c>
      <c r="O143" s="508">
        <f t="shared" si="59"/>
        <v>100</v>
      </c>
      <c r="P143" s="508">
        <f t="shared" si="61"/>
        <v>0</v>
      </c>
      <c r="Q143" s="468"/>
    </row>
    <row r="144" spans="1:17" s="387" customFormat="1" ht="23.25" customHeight="1" x14ac:dyDescent="0.2">
      <c r="A144" s="36"/>
      <c r="B144" s="37"/>
      <c r="C144" s="57"/>
      <c r="D144" s="141" t="s">
        <v>60</v>
      </c>
      <c r="E144" s="512">
        <f>F144+G144</f>
        <v>3096685.9</v>
      </c>
      <c r="F144" s="512">
        <f>F145+F146+F147</f>
        <v>3096685.9</v>
      </c>
      <c r="G144" s="44">
        <f>G145+G146+G147</f>
        <v>0</v>
      </c>
      <c r="H144" s="409"/>
      <c r="I144" s="408"/>
      <c r="J144" s="409"/>
      <c r="K144" s="44">
        <f t="shared" ref="K144:N144" si="62">K145+K146+K147</f>
        <v>3096685.9</v>
      </c>
      <c r="L144" s="83">
        <f t="shared" si="62"/>
        <v>0</v>
      </c>
      <c r="M144" s="83">
        <f t="shared" si="62"/>
        <v>3096685.9</v>
      </c>
      <c r="N144" s="83">
        <f t="shared" si="62"/>
        <v>0</v>
      </c>
      <c r="O144" s="91">
        <f t="shared" si="59"/>
        <v>100</v>
      </c>
      <c r="P144" s="513"/>
      <c r="Q144" s="514"/>
    </row>
    <row r="145" spans="1:17" s="387" customFormat="1" ht="75" x14ac:dyDescent="0.2">
      <c r="A145" s="36"/>
      <c r="B145" s="37"/>
      <c r="C145" s="57"/>
      <c r="D145" s="141" t="s">
        <v>283</v>
      </c>
      <c r="E145" s="47">
        <f>F145</f>
        <v>1650000</v>
      </c>
      <c r="F145" s="429">
        <f>1980000-330000</f>
        <v>1650000</v>
      </c>
      <c r="G145" s="47">
        <v>0</v>
      </c>
      <c r="H145" s="288" t="s">
        <v>395</v>
      </c>
      <c r="I145" s="515" t="s">
        <v>462</v>
      </c>
      <c r="J145" s="516" t="s">
        <v>433</v>
      </c>
      <c r="K145" s="425">
        <v>1650000</v>
      </c>
      <c r="L145" s="425">
        <f>F145-K145</f>
        <v>0</v>
      </c>
      <c r="M145" s="513">
        <v>1650000</v>
      </c>
      <c r="N145" s="513">
        <f>K145-M145</f>
        <v>0</v>
      </c>
      <c r="O145" s="91">
        <f t="shared" si="59"/>
        <v>100</v>
      </c>
      <c r="P145" s="513"/>
      <c r="Q145" s="517" t="s">
        <v>176</v>
      </c>
    </row>
    <row r="146" spans="1:17" s="387" customFormat="1" ht="63" x14ac:dyDescent="0.2">
      <c r="A146" s="36"/>
      <c r="B146" s="37"/>
      <c r="C146" s="57"/>
      <c r="D146" s="141" t="s">
        <v>284</v>
      </c>
      <c r="E146" s="47">
        <f>F146</f>
        <v>790000</v>
      </c>
      <c r="F146" s="429">
        <f>792000-2000</f>
        <v>790000</v>
      </c>
      <c r="G146" s="47">
        <v>0</v>
      </c>
      <c r="H146" s="288" t="s">
        <v>395</v>
      </c>
      <c r="I146" s="518" t="s">
        <v>452</v>
      </c>
      <c r="J146" s="519" t="s">
        <v>463</v>
      </c>
      <c r="K146" s="425">
        <v>790000</v>
      </c>
      <c r="L146" s="425">
        <f>F146-K146</f>
        <v>0</v>
      </c>
      <c r="M146" s="513">
        <v>790000</v>
      </c>
      <c r="N146" s="513">
        <f t="shared" ref="N146:N147" si="63">K146-M146</f>
        <v>0</v>
      </c>
      <c r="O146" s="91">
        <f t="shared" ref="O146:O147" si="64">M146*100/K146</f>
        <v>100</v>
      </c>
      <c r="P146" s="513"/>
      <c r="Q146" s="517" t="s">
        <v>24</v>
      </c>
    </row>
    <row r="147" spans="1:17" s="387" customFormat="1" ht="56.25" x14ac:dyDescent="0.2">
      <c r="A147" s="51"/>
      <c r="B147" s="52"/>
      <c r="C147" s="52"/>
      <c r="D147" s="520" t="s">
        <v>59</v>
      </c>
      <c r="E147" s="521">
        <f>F147</f>
        <v>656685.9</v>
      </c>
      <c r="F147" s="522">
        <f>990000-303625-29689.1</f>
        <v>656685.9</v>
      </c>
      <c r="G147" s="38">
        <v>0</v>
      </c>
      <c r="H147" s="288" t="s">
        <v>395</v>
      </c>
      <c r="I147" s="518" t="s">
        <v>453</v>
      </c>
      <c r="J147" s="523" t="s">
        <v>454</v>
      </c>
      <c r="K147" s="524">
        <v>656685.9</v>
      </c>
      <c r="L147" s="513">
        <f>F147-K147</f>
        <v>0</v>
      </c>
      <c r="M147" s="524">
        <v>656685.9</v>
      </c>
      <c r="N147" s="513">
        <f t="shared" si="63"/>
        <v>0</v>
      </c>
      <c r="O147" s="91">
        <f t="shared" si="64"/>
        <v>100</v>
      </c>
      <c r="P147" s="91"/>
      <c r="Q147" s="525" t="s">
        <v>285</v>
      </c>
    </row>
    <row r="148" spans="1:17" s="387" customFormat="1" ht="42.75" customHeight="1" x14ac:dyDescent="0.2">
      <c r="A148" s="41"/>
      <c r="B148" s="674" t="s">
        <v>61</v>
      </c>
      <c r="C148" s="674"/>
      <c r="D148" s="675"/>
      <c r="E148" s="35">
        <f>F148+G148</f>
        <v>1977600</v>
      </c>
      <c r="F148" s="139">
        <f>F149+F151</f>
        <v>0</v>
      </c>
      <c r="G148" s="138">
        <f>G149+G151</f>
        <v>1977600</v>
      </c>
      <c r="H148" s="426"/>
      <c r="I148" s="427"/>
      <c r="J148" s="426"/>
      <c r="K148" s="138">
        <f t="shared" ref="K148:P148" si="65">K149+K151</f>
        <v>0</v>
      </c>
      <c r="L148" s="138">
        <f t="shared" si="65"/>
        <v>0</v>
      </c>
      <c r="M148" s="428">
        <f t="shared" si="65"/>
        <v>782080</v>
      </c>
      <c r="N148" s="90">
        <f t="shared" si="65"/>
        <v>1195520</v>
      </c>
      <c r="O148" s="526">
        <f t="shared" ref="O148:O155" si="66">M148*100/G148</f>
        <v>39.546925566343042</v>
      </c>
      <c r="P148" s="90">
        <f t="shared" si="65"/>
        <v>0</v>
      </c>
      <c r="Q148" s="527"/>
    </row>
    <row r="149" spans="1:17" s="387" customFormat="1" ht="44.25" customHeight="1" x14ac:dyDescent="0.2">
      <c r="A149" s="48"/>
      <c r="B149" s="49"/>
      <c r="C149" s="672" t="s">
        <v>62</v>
      </c>
      <c r="D149" s="673"/>
      <c r="E149" s="35">
        <f>F149+G149</f>
        <v>1000000</v>
      </c>
      <c r="F149" s="35">
        <f>F150</f>
        <v>0</v>
      </c>
      <c r="G149" s="35">
        <f>G150</f>
        <v>1000000</v>
      </c>
      <c r="H149" s="403"/>
      <c r="I149" s="404"/>
      <c r="J149" s="403"/>
      <c r="K149" s="35">
        <f t="shared" ref="K149:P149" si="67">K150</f>
        <v>0</v>
      </c>
      <c r="L149" s="35">
        <f t="shared" si="67"/>
        <v>0</v>
      </c>
      <c r="M149" s="90">
        <f t="shared" si="67"/>
        <v>0</v>
      </c>
      <c r="N149" s="90">
        <f t="shared" si="67"/>
        <v>1000000</v>
      </c>
      <c r="O149" s="90">
        <f t="shared" si="66"/>
        <v>0</v>
      </c>
      <c r="P149" s="90">
        <f t="shared" si="67"/>
        <v>0</v>
      </c>
      <c r="Q149" s="45"/>
    </row>
    <row r="150" spans="1:17" s="387" customFormat="1" ht="45" customHeight="1" x14ac:dyDescent="0.2">
      <c r="A150" s="36"/>
      <c r="B150" s="37"/>
      <c r="C150" s="383"/>
      <c r="D150" s="340" t="s">
        <v>63</v>
      </c>
      <c r="E150" s="47">
        <f>G150</f>
        <v>1000000</v>
      </c>
      <c r="F150" s="47">
        <v>0</v>
      </c>
      <c r="G150" s="44">
        <v>1000000</v>
      </c>
      <c r="H150" s="528" t="s">
        <v>382</v>
      </c>
      <c r="I150" s="408"/>
      <c r="J150" s="409"/>
      <c r="K150" s="44"/>
      <c r="L150" s="44"/>
      <c r="M150" s="83"/>
      <c r="N150" s="83">
        <f>G150-M150</f>
        <v>1000000</v>
      </c>
      <c r="O150" s="83">
        <f t="shared" si="66"/>
        <v>0</v>
      </c>
      <c r="P150" s="83"/>
      <c r="Q150" s="40" t="s">
        <v>57</v>
      </c>
    </row>
    <row r="151" spans="1:17" s="387" customFormat="1" x14ac:dyDescent="0.2">
      <c r="A151" s="48"/>
      <c r="B151" s="49"/>
      <c r="C151" s="678" t="s">
        <v>64</v>
      </c>
      <c r="D151" s="679"/>
      <c r="E151" s="35">
        <f>F151+G151</f>
        <v>977600</v>
      </c>
      <c r="F151" s="35">
        <f>F152</f>
        <v>0</v>
      </c>
      <c r="G151" s="35">
        <f>G152</f>
        <v>977600</v>
      </c>
      <c r="H151" s="403"/>
      <c r="I151" s="404"/>
      <c r="J151" s="403"/>
      <c r="K151" s="35">
        <f t="shared" ref="K151:P151" si="68">K152</f>
        <v>0</v>
      </c>
      <c r="L151" s="35">
        <f t="shared" si="68"/>
        <v>0</v>
      </c>
      <c r="M151" s="90">
        <f t="shared" si="68"/>
        <v>782080</v>
      </c>
      <c r="N151" s="90">
        <f t="shared" si="68"/>
        <v>195520</v>
      </c>
      <c r="O151" s="428">
        <f t="shared" si="66"/>
        <v>80</v>
      </c>
      <c r="P151" s="90">
        <f t="shared" si="68"/>
        <v>0</v>
      </c>
      <c r="Q151" s="529"/>
    </row>
    <row r="152" spans="1:17" s="387" customFormat="1" ht="37.5" x14ac:dyDescent="0.2">
      <c r="A152" s="36"/>
      <c r="B152" s="37"/>
      <c r="C152" s="383"/>
      <c r="D152" s="340" t="s">
        <v>65</v>
      </c>
      <c r="E152" s="47">
        <f>G152</f>
        <v>977600</v>
      </c>
      <c r="F152" s="47">
        <v>0</v>
      </c>
      <c r="G152" s="44">
        <f>1000000-22400</f>
        <v>977600</v>
      </c>
      <c r="H152" s="405" t="s">
        <v>355</v>
      </c>
      <c r="I152" s="408"/>
      <c r="J152" s="409"/>
      <c r="K152" s="44"/>
      <c r="L152" s="44"/>
      <c r="M152" s="83">
        <f>97760+684320</f>
        <v>782080</v>
      </c>
      <c r="N152" s="83">
        <f>G152-M152-P152</f>
        <v>195520</v>
      </c>
      <c r="O152" s="83">
        <f t="shared" si="66"/>
        <v>80</v>
      </c>
      <c r="P152" s="83">
        <v>0</v>
      </c>
      <c r="Q152" s="40" t="s">
        <v>286</v>
      </c>
    </row>
    <row r="153" spans="1:17" s="387" customFormat="1" ht="25.5" customHeight="1" x14ac:dyDescent="0.2">
      <c r="A153" s="41"/>
      <c r="B153" s="674" t="s">
        <v>66</v>
      </c>
      <c r="C153" s="674"/>
      <c r="D153" s="675"/>
      <c r="E153" s="138">
        <f>F153+G153</f>
        <v>12487611</v>
      </c>
      <c r="F153" s="138">
        <f>F154</f>
        <v>0</v>
      </c>
      <c r="G153" s="138">
        <f>G154</f>
        <v>12487611</v>
      </c>
      <c r="H153" s="426"/>
      <c r="I153" s="427"/>
      <c r="J153" s="426"/>
      <c r="K153" s="138">
        <f t="shared" ref="K153:P153" si="69">K154</f>
        <v>0</v>
      </c>
      <c r="L153" s="138">
        <f t="shared" si="69"/>
        <v>0</v>
      </c>
      <c r="M153" s="428">
        <f t="shared" si="69"/>
        <v>7891261</v>
      </c>
      <c r="N153" s="428">
        <f t="shared" si="69"/>
        <v>4596350</v>
      </c>
      <c r="O153" s="428">
        <f t="shared" si="66"/>
        <v>63.19271956821845</v>
      </c>
      <c r="P153" s="428">
        <f t="shared" si="69"/>
        <v>0</v>
      </c>
      <c r="Q153" s="45"/>
    </row>
    <row r="154" spans="1:17" s="387" customFormat="1" ht="43.5" customHeight="1" x14ac:dyDescent="0.2">
      <c r="A154" s="48"/>
      <c r="B154" s="49"/>
      <c r="C154" s="678" t="s">
        <v>67</v>
      </c>
      <c r="D154" s="679"/>
      <c r="E154" s="35">
        <f>F154+G154</f>
        <v>12487611</v>
      </c>
      <c r="F154" s="35">
        <f>SUM(F155:F173)</f>
        <v>0</v>
      </c>
      <c r="G154" s="35">
        <f>SUM(G155:G173)</f>
        <v>12487611</v>
      </c>
      <c r="H154" s="403"/>
      <c r="I154" s="404"/>
      <c r="J154" s="403"/>
      <c r="K154" s="35">
        <f t="shared" ref="K154:P154" si="70">SUM(K155:K173)</f>
        <v>0</v>
      </c>
      <c r="L154" s="35">
        <f t="shared" si="70"/>
        <v>0</v>
      </c>
      <c r="M154" s="90">
        <f t="shared" si="70"/>
        <v>7891261</v>
      </c>
      <c r="N154" s="90">
        <f t="shared" si="70"/>
        <v>4596350</v>
      </c>
      <c r="O154" s="90">
        <f t="shared" si="66"/>
        <v>63.19271956821845</v>
      </c>
      <c r="P154" s="90">
        <f t="shared" si="70"/>
        <v>0</v>
      </c>
      <c r="Q154" s="45"/>
    </row>
    <row r="155" spans="1:17" s="387" customFormat="1" ht="31.5" x14ac:dyDescent="0.2">
      <c r="A155" s="530"/>
      <c r="B155" s="531"/>
      <c r="C155" s="531"/>
      <c r="D155" s="532" t="s">
        <v>68</v>
      </c>
      <c r="E155" s="533">
        <f>G155</f>
        <v>287000</v>
      </c>
      <c r="F155" s="533">
        <v>0</v>
      </c>
      <c r="G155" s="534">
        <v>287000</v>
      </c>
      <c r="H155" s="405" t="s">
        <v>395</v>
      </c>
      <c r="I155" s="535"/>
      <c r="J155" s="536"/>
      <c r="K155" s="534"/>
      <c r="L155" s="534"/>
      <c r="M155" s="358">
        <f>177000+24000+23500+62500</f>
        <v>287000</v>
      </c>
      <c r="N155" s="358">
        <f>G155-M155</f>
        <v>0</v>
      </c>
      <c r="O155" s="358">
        <f t="shared" si="66"/>
        <v>100</v>
      </c>
      <c r="P155" s="358"/>
      <c r="Q155" s="537" t="s">
        <v>69</v>
      </c>
    </row>
    <row r="156" spans="1:17" s="387" customFormat="1" ht="31.5" x14ac:dyDescent="0.2">
      <c r="A156" s="41"/>
      <c r="B156" s="42"/>
      <c r="C156" s="42"/>
      <c r="D156" s="43" t="s">
        <v>70</v>
      </c>
      <c r="E156" s="533">
        <f t="shared" ref="E156:E173" si="71">G156</f>
        <v>100000</v>
      </c>
      <c r="F156" s="38">
        <v>0</v>
      </c>
      <c r="G156" s="39">
        <v>100000</v>
      </c>
      <c r="H156" s="405" t="s">
        <v>395</v>
      </c>
      <c r="I156" s="406"/>
      <c r="J156" s="407"/>
      <c r="K156" s="39"/>
      <c r="L156" s="39"/>
      <c r="M156" s="82">
        <f>72600+27400</f>
        <v>100000</v>
      </c>
      <c r="N156" s="358">
        <f t="shared" ref="N156:N173" si="72">G156-M156</f>
        <v>0</v>
      </c>
      <c r="O156" s="358">
        <f t="shared" ref="O156:O173" si="73">M156*100/G156</f>
        <v>100</v>
      </c>
      <c r="P156" s="85"/>
      <c r="Q156" s="386" t="s">
        <v>69</v>
      </c>
    </row>
    <row r="157" spans="1:17" s="387" customFormat="1" ht="42" x14ac:dyDescent="0.2">
      <c r="A157" s="48"/>
      <c r="B157" s="49"/>
      <c r="C157" s="49"/>
      <c r="D157" s="471" t="s">
        <v>85</v>
      </c>
      <c r="E157" s="533">
        <f t="shared" si="71"/>
        <v>430000</v>
      </c>
      <c r="F157" s="472">
        <v>0</v>
      </c>
      <c r="G157" s="473">
        <v>430000</v>
      </c>
      <c r="H157" s="405" t="s">
        <v>395</v>
      </c>
      <c r="I157" s="474"/>
      <c r="J157" s="475"/>
      <c r="K157" s="476"/>
      <c r="L157" s="476"/>
      <c r="M157" s="477">
        <v>430000</v>
      </c>
      <c r="N157" s="358">
        <f t="shared" si="72"/>
        <v>0</v>
      </c>
      <c r="O157" s="358">
        <f t="shared" si="73"/>
        <v>100</v>
      </c>
      <c r="P157" s="477"/>
      <c r="Q157" s="385" t="s">
        <v>69</v>
      </c>
    </row>
    <row r="158" spans="1:17" s="387" customFormat="1" ht="37.5" x14ac:dyDescent="0.2">
      <c r="A158" s="36"/>
      <c r="B158" s="37"/>
      <c r="C158" s="37"/>
      <c r="D158" s="340" t="s">
        <v>86</v>
      </c>
      <c r="E158" s="47">
        <f t="shared" si="71"/>
        <v>500000</v>
      </c>
      <c r="F158" s="47">
        <v>0</v>
      </c>
      <c r="G158" s="44">
        <v>500000</v>
      </c>
      <c r="H158" s="528" t="s">
        <v>355</v>
      </c>
      <c r="I158" s="408"/>
      <c r="J158" s="409"/>
      <c r="K158" s="44"/>
      <c r="L158" s="44"/>
      <c r="M158" s="83"/>
      <c r="N158" s="83">
        <f t="shared" si="72"/>
        <v>500000</v>
      </c>
      <c r="O158" s="83">
        <f t="shared" si="73"/>
        <v>0</v>
      </c>
      <c r="P158" s="83"/>
      <c r="Q158" s="40" t="s">
        <v>24</v>
      </c>
    </row>
    <row r="159" spans="1:17" s="387" customFormat="1" ht="27" customHeight="1" x14ac:dyDescent="0.2">
      <c r="A159" s="36"/>
      <c r="B159" s="37"/>
      <c r="C159" s="37"/>
      <c r="D159" s="538" t="s">
        <v>71</v>
      </c>
      <c r="E159" s="533">
        <f t="shared" si="71"/>
        <v>500000</v>
      </c>
      <c r="F159" s="47">
        <v>0</v>
      </c>
      <c r="G159" s="44">
        <v>500000</v>
      </c>
      <c r="H159" s="528" t="s">
        <v>395</v>
      </c>
      <c r="I159" s="408"/>
      <c r="J159" s="409"/>
      <c r="K159" s="44"/>
      <c r="L159" s="44"/>
      <c r="M159" s="83">
        <v>500000</v>
      </c>
      <c r="N159" s="358">
        <f t="shared" si="72"/>
        <v>0</v>
      </c>
      <c r="O159" s="358">
        <f t="shared" si="73"/>
        <v>100</v>
      </c>
      <c r="P159" s="477"/>
      <c r="Q159" s="40" t="s">
        <v>176</v>
      </c>
    </row>
    <row r="160" spans="1:17" s="387" customFormat="1" ht="35.25" customHeight="1" x14ac:dyDescent="0.2">
      <c r="A160" s="41"/>
      <c r="B160" s="42"/>
      <c r="C160" s="42"/>
      <c r="D160" s="539" t="s">
        <v>72</v>
      </c>
      <c r="E160" s="47">
        <f t="shared" si="71"/>
        <v>500000</v>
      </c>
      <c r="F160" s="38">
        <v>0</v>
      </c>
      <c r="G160" s="39">
        <v>500000</v>
      </c>
      <c r="H160" s="528" t="s">
        <v>395</v>
      </c>
      <c r="I160" s="406"/>
      <c r="J160" s="407"/>
      <c r="K160" s="39"/>
      <c r="L160" s="39"/>
      <c r="M160" s="82">
        <f>300000+30000+70000+100000</f>
        <v>500000</v>
      </c>
      <c r="N160" s="83">
        <f t="shared" si="72"/>
        <v>0</v>
      </c>
      <c r="O160" s="83">
        <f t="shared" si="73"/>
        <v>100</v>
      </c>
      <c r="P160" s="91"/>
      <c r="Q160" s="540" t="s">
        <v>26</v>
      </c>
    </row>
    <row r="161" spans="1:17" s="387" customFormat="1" x14ac:dyDescent="0.2">
      <c r="A161" s="36"/>
      <c r="B161" s="37"/>
      <c r="C161" s="37"/>
      <c r="D161" s="538" t="s">
        <v>73</v>
      </c>
      <c r="E161" s="533">
        <f t="shared" si="71"/>
        <v>500000</v>
      </c>
      <c r="F161" s="47">
        <v>0</v>
      </c>
      <c r="G161" s="44">
        <v>500000</v>
      </c>
      <c r="H161" s="405" t="s">
        <v>395</v>
      </c>
      <c r="I161" s="408"/>
      <c r="J161" s="409"/>
      <c r="K161" s="44"/>
      <c r="L161" s="44"/>
      <c r="M161" s="83">
        <f>50000+100000+50000+100000+100000+100000</f>
        <v>500000</v>
      </c>
      <c r="N161" s="358">
        <f t="shared" si="72"/>
        <v>0</v>
      </c>
      <c r="O161" s="358">
        <f t="shared" si="73"/>
        <v>100</v>
      </c>
      <c r="P161" s="91"/>
      <c r="Q161" s="541" t="s">
        <v>27</v>
      </c>
    </row>
    <row r="162" spans="1:17" s="387" customFormat="1" ht="31.5" x14ac:dyDescent="0.2">
      <c r="A162" s="41"/>
      <c r="B162" s="42"/>
      <c r="C162" s="42"/>
      <c r="D162" s="43" t="s">
        <v>84</v>
      </c>
      <c r="E162" s="533">
        <f t="shared" si="71"/>
        <v>399700</v>
      </c>
      <c r="F162" s="38">
        <v>0</v>
      </c>
      <c r="G162" s="39">
        <f>400000-300</f>
        <v>399700</v>
      </c>
      <c r="H162" s="405" t="s">
        <v>395</v>
      </c>
      <c r="I162" s="406"/>
      <c r="J162" s="407"/>
      <c r="K162" s="39"/>
      <c r="L162" s="39"/>
      <c r="M162" s="82">
        <f>60000+64200+3100+240000+32400</f>
        <v>399700</v>
      </c>
      <c r="N162" s="358">
        <f>G162-M162-P162</f>
        <v>0</v>
      </c>
      <c r="O162" s="358">
        <v>100</v>
      </c>
      <c r="P162" s="85">
        <v>0</v>
      </c>
      <c r="Q162" s="540" t="s">
        <v>26</v>
      </c>
    </row>
    <row r="163" spans="1:17" s="387" customFormat="1" x14ac:dyDescent="0.2">
      <c r="A163" s="36"/>
      <c r="B163" s="37"/>
      <c r="C163" s="37"/>
      <c r="D163" s="538" t="s">
        <v>74</v>
      </c>
      <c r="E163" s="533">
        <f t="shared" si="71"/>
        <v>500000</v>
      </c>
      <c r="F163" s="47">
        <v>0</v>
      </c>
      <c r="G163" s="44">
        <v>500000</v>
      </c>
      <c r="H163" s="528" t="s">
        <v>395</v>
      </c>
      <c r="I163" s="408"/>
      <c r="J163" s="409"/>
      <c r="K163" s="44"/>
      <c r="L163" s="44"/>
      <c r="M163" s="83">
        <v>500000</v>
      </c>
      <c r="N163" s="358">
        <f t="shared" si="72"/>
        <v>0</v>
      </c>
      <c r="O163" s="358">
        <f t="shared" si="73"/>
        <v>100</v>
      </c>
      <c r="P163" s="477"/>
      <c r="Q163" s="40" t="s">
        <v>176</v>
      </c>
    </row>
    <row r="164" spans="1:17" s="387" customFormat="1" ht="37.5" x14ac:dyDescent="0.2">
      <c r="A164" s="33"/>
      <c r="B164" s="46"/>
      <c r="C164" s="46"/>
      <c r="D164" s="542" t="s">
        <v>87</v>
      </c>
      <c r="E164" s="533">
        <f t="shared" si="71"/>
        <v>527500</v>
      </c>
      <c r="F164" s="38">
        <v>0</v>
      </c>
      <c r="G164" s="39">
        <v>527500</v>
      </c>
      <c r="H164" s="528" t="s">
        <v>355</v>
      </c>
      <c r="I164" s="414"/>
      <c r="J164" s="415"/>
      <c r="K164" s="413"/>
      <c r="L164" s="413"/>
      <c r="M164" s="85"/>
      <c r="N164" s="358">
        <f t="shared" si="72"/>
        <v>527500</v>
      </c>
      <c r="O164" s="358">
        <f t="shared" si="73"/>
        <v>0</v>
      </c>
      <c r="P164" s="477"/>
      <c r="Q164" s="385" t="s">
        <v>177</v>
      </c>
    </row>
    <row r="165" spans="1:17" s="387" customFormat="1" ht="42" x14ac:dyDescent="0.2">
      <c r="A165" s="36"/>
      <c r="B165" s="37"/>
      <c r="C165" s="37"/>
      <c r="D165" s="538" t="s">
        <v>162</v>
      </c>
      <c r="E165" s="533">
        <f t="shared" si="71"/>
        <v>422700</v>
      </c>
      <c r="F165" s="47">
        <v>0</v>
      </c>
      <c r="G165" s="44">
        <v>422700</v>
      </c>
      <c r="H165" s="528" t="s">
        <v>395</v>
      </c>
      <c r="I165" s="408"/>
      <c r="J165" s="409"/>
      <c r="K165" s="44"/>
      <c r="L165" s="44"/>
      <c r="M165" s="83">
        <f>422700</f>
        <v>422700</v>
      </c>
      <c r="N165" s="358">
        <f t="shared" si="72"/>
        <v>0</v>
      </c>
      <c r="O165" s="358">
        <f t="shared" si="73"/>
        <v>100</v>
      </c>
      <c r="P165" s="91"/>
      <c r="Q165" s="541" t="s">
        <v>178</v>
      </c>
    </row>
    <row r="166" spans="1:17" s="387" customFormat="1" ht="37.5" x14ac:dyDescent="0.2">
      <c r="A166" s="33"/>
      <c r="B166" s="46"/>
      <c r="C166" s="46"/>
      <c r="D166" s="542" t="s">
        <v>75</v>
      </c>
      <c r="E166" s="533">
        <f t="shared" si="71"/>
        <v>500000</v>
      </c>
      <c r="F166" s="38">
        <v>0</v>
      </c>
      <c r="G166" s="39">
        <v>500000</v>
      </c>
      <c r="H166" s="405" t="s">
        <v>355</v>
      </c>
      <c r="I166" s="406"/>
      <c r="J166" s="407"/>
      <c r="K166" s="39"/>
      <c r="L166" s="39"/>
      <c r="M166" s="82">
        <f>41500+64500+40000+8000+55000+6000+35000</f>
        <v>250000</v>
      </c>
      <c r="N166" s="358">
        <f t="shared" si="72"/>
        <v>250000</v>
      </c>
      <c r="O166" s="358">
        <f t="shared" si="73"/>
        <v>50</v>
      </c>
      <c r="P166" s="85"/>
      <c r="Q166" s="540" t="s">
        <v>179</v>
      </c>
    </row>
    <row r="167" spans="1:17" s="387" customFormat="1" ht="31.5" x14ac:dyDescent="0.2">
      <c r="A167" s="36"/>
      <c r="B167" s="37"/>
      <c r="C167" s="37"/>
      <c r="D167" s="538" t="s">
        <v>76</v>
      </c>
      <c r="E167" s="533">
        <f t="shared" si="71"/>
        <v>1320711</v>
      </c>
      <c r="F167" s="47">
        <v>0</v>
      </c>
      <c r="G167" s="44">
        <f>1332800-12089</f>
        <v>1320711</v>
      </c>
      <c r="H167" s="405" t="s">
        <v>395</v>
      </c>
      <c r="I167" s="408"/>
      <c r="J167" s="409"/>
      <c r="K167" s="44"/>
      <c r="L167" s="44"/>
      <c r="M167" s="83">
        <f>28000+28000+40000+118800+3500+35000+35000+35000+29760+70000+70000+48000+35000+4200+35000+12000+35000+23811+25000+4800+10000+120000+100000+35000+35000+34840+35000+200000+35000</f>
        <v>1320711</v>
      </c>
      <c r="N167" s="358">
        <f>G167-M167-P167</f>
        <v>0</v>
      </c>
      <c r="O167" s="358">
        <v>100</v>
      </c>
      <c r="P167" s="477">
        <v>0</v>
      </c>
      <c r="Q167" s="541" t="s">
        <v>14</v>
      </c>
    </row>
    <row r="168" spans="1:17" s="387" customFormat="1" x14ac:dyDescent="0.2">
      <c r="A168" s="36"/>
      <c r="B168" s="37"/>
      <c r="C168" s="37"/>
      <c r="D168" s="538" t="s">
        <v>77</v>
      </c>
      <c r="E168" s="533">
        <f t="shared" si="71"/>
        <v>1000000</v>
      </c>
      <c r="F168" s="47">
        <v>0</v>
      </c>
      <c r="G168" s="44">
        <v>1000000</v>
      </c>
      <c r="H168" s="528" t="s">
        <v>395</v>
      </c>
      <c r="I168" s="408"/>
      <c r="J168" s="409"/>
      <c r="K168" s="44"/>
      <c r="L168" s="44"/>
      <c r="M168" s="83">
        <f>80000+150000+450000+45400+83000+22000+100000+60000+4800+4800</f>
        <v>1000000</v>
      </c>
      <c r="N168" s="358">
        <f t="shared" si="72"/>
        <v>0</v>
      </c>
      <c r="O168" s="358">
        <f t="shared" si="73"/>
        <v>100</v>
      </c>
      <c r="P168" s="477"/>
      <c r="Q168" s="541" t="s">
        <v>24</v>
      </c>
    </row>
    <row r="169" spans="1:17" s="387" customFormat="1" ht="37.5" x14ac:dyDescent="0.2">
      <c r="A169" s="36"/>
      <c r="B169" s="37"/>
      <c r="C169" s="37"/>
      <c r="D169" s="538" t="s">
        <v>78</v>
      </c>
      <c r="E169" s="47">
        <f t="shared" si="71"/>
        <v>1000000</v>
      </c>
      <c r="F169" s="47">
        <v>0</v>
      </c>
      <c r="G169" s="47">
        <v>1000000</v>
      </c>
      <c r="H169" s="528" t="s">
        <v>382</v>
      </c>
      <c r="I169" s="416"/>
      <c r="J169" s="417"/>
      <c r="K169" s="47"/>
      <c r="L169" s="47"/>
      <c r="M169" s="91"/>
      <c r="N169" s="83">
        <f t="shared" si="72"/>
        <v>1000000</v>
      </c>
      <c r="O169" s="83">
        <f t="shared" si="73"/>
        <v>0</v>
      </c>
      <c r="P169" s="83"/>
      <c r="Q169" s="541" t="s">
        <v>176</v>
      </c>
    </row>
    <row r="170" spans="1:17" s="387" customFormat="1" ht="37.5" x14ac:dyDescent="0.2">
      <c r="A170" s="36"/>
      <c r="B170" s="37"/>
      <c r="C170" s="37"/>
      <c r="D170" s="543" t="s">
        <v>79</v>
      </c>
      <c r="E170" s="47">
        <f t="shared" si="71"/>
        <v>1000000</v>
      </c>
      <c r="F170" s="429">
        <v>0</v>
      </c>
      <c r="G170" s="47">
        <v>1000000</v>
      </c>
      <c r="H170" s="528" t="s">
        <v>355</v>
      </c>
      <c r="I170" s="416"/>
      <c r="J170" s="417"/>
      <c r="K170" s="47"/>
      <c r="L170" s="47"/>
      <c r="M170" s="91">
        <f>82500+51050+47600</f>
        <v>181150</v>
      </c>
      <c r="N170" s="83">
        <f t="shared" si="72"/>
        <v>818850</v>
      </c>
      <c r="O170" s="83">
        <f t="shared" si="73"/>
        <v>18.114999999999998</v>
      </c>
      <c r="P170" s="83"/>
      <c r="Q170" s="541" t="s">
        <v>28</v>
      </c>
    </row>
    <row r="171" spans="1:17" s="387" customFormat="1" ht="37.5" x14ac:dyDescent="0.2">
      <c r="A171" s="36"/>
      <c r="B171" s="37"/>
      <c r="C171" s="37"/>
      <c r="D171" s="543" t="s">
        <v>80</v>
      </c>
      <c r="E171" s="533">
        <f t="shared" si="71"/>
        <v>1000000</v>
      </c>
      <c r="F171" s="429">
        <v>0</v>
      </c>
      <c r="G171" s="47">
        <v>1000000</v>
      </c>
      <c r="H171" s="528" t="s">
        <v>382</v>
      </c>
      <c r="I171" s="416"/>
      <c r="J171" s="417"/>
      <c r="K171" s="47"/>
      <c r="L171" s="47"/>
      <c r="M171" s="91"/>
      <c r="N171" s="358">
        <f t="shared" si="72"/>
        <v>1000000</v>
      </c>
      <c r="O171" s="91">
        <f t="shared" si="73"/>
        <v>0</v>
      </c>
      <c r="P171" s="477"/>
      <c r="Q171" s="40" t="s">
        <v>9</v>
      </c>
    </row>
    <row r="172" spans="1:17" s="387" customFormat="1" ht="31.5" x14ac:dyDescent="0.2">
      <c r="A172" s="36"/>
      <c r="B172" s="37"/>
      <c r="C172" s="37"/>
      <c r="D172" s="538" t="s">
        <v>81</v>
      </c>
      <c r="E172" s="533">
        <f t="shared" si="71"/>
        <v>1000000</v>
      </c>
      <c r="F172" s="47">
        <v>0</v>
      </c>
      <c r="G172" s="44">
        <v>1000000</v>
      </c>
      <c r="H172" s="405" t="s">
        <v>395</v>
      </c>
      <c r="I172" s="408"/>
      <c r="J172" s="409"/>
      <c r="K172" s="44"/>
      <c r="L172" s="44"/>
      <c r="M172" s="83">
        <v>1000000</v>
      </c>
      <c r="N172" s="358">
        <f t="shared" si="72"/>
        <v>0</v>
      </c>
      <c r="O172" s="83">
        <f t="shared" si="73"/>
        <v>100</v>
      </c>
      <c r="P172" s="91"/>
      <c r="Q172" s="40" t="s">
        <v>9</v>
      </c>
    </row>
    <row r="173" spans="1:17" s="387" customFormat="1" ht="63" x14ac:dyDescent="0.2">
      <c r="A173" s="41"/>
      <c r="B173" s="42"/>
      <c r="C173" s="42"/>
      <c r="D173" s="539" t="s">
        <v>450</v>
      </c>
      <c r="E173" s="533">
        <f t="shared" si="71"/>
        <v>1000000</v>
      </c>
      <c r="F173" s="47">
        <v>0</v>
      </c>
      <c r="G173" s="39">
        <v>1000000</v>
      </c>
      <c r="H173" s="528" t="s">
        <v>355</v>
      </c>
      <c r="I173" s="406"/>
      <c r="J173" s="407"/>
      <c r="K173" s="39"/>
      <c r="L173" s="39"/>
      <c r="M173" s="82">
        <f>170000+80000+35000+100000+15000+24000+44000+32000</f>
        <v>500000</v>
      </c>
      <c r="N173" s="358">
        <f t="shared" si="72"/>
        <v>500000</v>
      </c>
      <c r="O173" s="358">
        <f t="shared" si="73"/>
        <v>50</v>
      </c>
      <c r="P173" s="477"/>
      <c r="Q173" s="541" t="s">
        <v>513</v>
      </c>
    </row>
    <row r="174" spans="1:17" s="387" customFormat="1" ht="45" customHeight="1" x14ac:dyDescent="0.2">
      <c r="A174" s="41"/>
      <c r="B174" s="674" t="s">
        <v>163</v>
      </c>
      <c r="C174" s="674"/>
      <c r="D174" s="675"/>
      <c r="E174" s="138">
        <f>F174+G174</f>
        <v>3926205</v>
      </c>
      <c r="F174" s="138">
        <f>F175+F177</f>
        <v>0</v>
      </c>
      <c r="G174" s="138">
        <f>G175+G177</f>
        <v>3926205</v>
      </c>
      <c r="H174" s="426"/>
      <c r="I174" s="427"/>
      <c r="J174" s="426"/>
      <c r="K174" s="138">
        <f t="shared" ref="K174:P174" si="74">K175+K177</f>
        <v>0</v>
      </c>
      <c r="L174" s="138">
        <f t="shared" si="74"/>
        <v>0</v>
      </c>
      <c r="M174" s="428">
        <f t="shared" si="74"/>
        <v>3001720</v>
      </c>
      <c r="N174" s="428">
        <f t="shared" si="74"/>
        <v>923280</v>
      </c>
      <c r="O174" s="428">
        <f t="shared" ref="O174:O202" si="75">M174*100/G174</f>
        <v>76.453470972605857</v>
      </c>
      <c r="P174" s="90">
        <f t="shared" si="74"/>
        <v>1205</v>
      </c>
      <c r="Q174" s="45"/>
    </row>
    <row r="175" spans="1:17" s="387" customFormat="1" ht="23.25" customHeight="1" x14ac:dyDescent="0.2">
      <c r="A175" s="36"/>
      <c r="B175" s="37"/>
      <c r="C175" s="672" t="s">
        <v>164</v>
      </c>
      <c r="D175" s="673"/>
      <c r="E175" s="32">
        <f>F175+G175</f>
        <v>1926205</v>
      </c>
      <c r="F175" s="32">
        <f>F176</f>
        <v>0</v>
      </c>
      <c r="G175" s="32">
        <f>G176</f>
        <v>1926205</v>
      </c>
      <c r="H175" s="395"/>
      <c r="I175" s="396"/>
      <c r="J175" s="395"/>
      <c r="K175" s="32">
        <f t="shared" ref="K175:P175" si="76">K176</f>
        <v>0</v>
      </c>
      <c r="L175" s="32">
        <f t="shared" si="76"/>
        <v>0</v>
      </c>
      <c r="M175" s="79">
        <f t="shared" si="76"/>
        <v>1443750</v>
      </c>
      <c r="N175" s="79">
        <f t="shared" si="76"/>
        <v>481250</v>
      </c>
      <c r="O175" s="79">
        <f t="shared" si="75"/>
        <v>74.953081317928252</v>
      </c>
      <c r="P175" s="79">
        <f t="shared" si="76"/>
        <v>1205</v>
      </c>
      <c r="Q175" s="45"/>
    </row>
    <row r="176" spans="1:17" s="387" customFormat="1" ht="37.5" x14ac:dyDescent="0.2">
      <c r="A176" s="36"/>
      <c r="B176" s="37"/>
      <c r="C176" s="57"/>
      <c r="D176" s="340" t="s">
        <v>165</v>
      </c>
      <c r="E176" s="47">
        <f>G176</f>
        <v>1926205</v>
      </c>
      <c r="F176" s="47">
        <v>0</v>
      </c>
      <c r="G176" s="44">
        <f>2000000-73795</f>
        <v>1926205</v>
      </c>
      <c r="H176" s="405" t="s">
        <v>355</v>
      </c>
      <c r="I176" s="408"/>
      <c r="J176" s="409"/>
      <c r="K176" s="44"/>
      <c r="L176" s="44"/>
      <c r="M176" s="83">
        <f>481250+962500</f>
        <v>1443750</v>
      </c>
      <c r="N176" s="83">
        <f>G176-M176-P176</f>
        <v>481250</v>
      </c>
      <c r="O176" s="83">
        <f t="shared" si="75"/>
        <v>74.953081317928252</v>
      </c>
      <c r="P176" s="83">
        <v>1205</v>
      </c>
      <c r="Q176" s="449" t="s">
        <v>348</v>
      </c>
    </row>
    <row r="177" spans="1:18" s="387" customFormat="1" ht="42" customHeight="1" x14ac:dyDescent="0.2">
      <c r="A177" s="48"/>
      <c r="B177" s="49"/>
      <c r="C177" s="678" t="s">
        <v>166</v>
      </c>
      <c r="D177" s="679"/>
      <c r="E177" s="464">
        <f>F177+G177</f>
        <v>2000000</v>
      </c>
      <c r="F177" s="464">
        <f>F178</f>
        <v>0</v>
      </c>
      <c r="G177" s="464">
        <f>G178</f>
        <v>2000000</v>
      </c>
      <c r="H177" s="466"/>
      <c r="I177" s="465"/>
      <c r="J177" s="466"/>
      <c r="K177" s="464">
        <f t="shared" ref="K177:P177" si="77">K178</f>
        <v>0</v>
      </c>
      <c r="L177" s="464">
        <f t="shared" si="77"/>
        <v>0</v>
      </c>
      <c r="M177" s="467">
        <f t="shared" si="77"/>
        <v>1557970</v>
      </c>
      <c r="N177" s="467">
        <f t="shared" si="77"/>
        <v>442030</v>
      </c>
      <c r="O177" s="467">
        <f t="shared" si="75"/>
        <v>77.898499999999999</v>
      </c>
      <c r="P177" s="467">
        <f t="shared" si="77"/>
        <v>0</v>
      </c>
      <c r="Q177" s="468"/>
    </row>
    <row r="178" spans="1:18" s="387" customFormat="1" ht="36" customHeight="1" x14ac:dyDescent="0.2">
      <c r="A178" s="36"/>
      <c r="B178" s="37"/>
      <c r="C178" s="383"/>
      <c r="D178" s="141" t="s">
        <v>472</v>
      </c>
      <c r="E178" s="47">
        <f>G178</f>
        <v>2000000</v>
      </c>
      <c r="F178" s="429">
        <v>0</v>
      </c>
      <c r="G178" s="47">
        <v>2000000</v>
      </c>
      <c r="H178" s="528" t="s">
        <v>355</v>
      </c>
      <c r="I178" s="416"/>
      <c r="J178" s="417"/>
      <c r="K178" s="47"/>
      <c r="L178" s="47"/>
      <c r="M178" s="91">
        <f>87360+165100+22950+24100+33000+3000+13000+15000+700+80000+7200+40000+40000+8650+13600+40000+40000+82050+40000+21000+117000+40000+499400+20600+77590+5670+21000</f>
        <v>1557970</v>
      </c>
      <c r="N178" s="91">
        <f>G178-M178</f>
        <v>442030</v>
      </c>
      <c r="O178" s="91">
        <f t="shared" si="75"/>
        <v>77.898499999999999</v>
      </c>
      <c r="P178" s="91"/>
      <c r="Q178" s="40" t="s">
        <v>57</v>
      </c>
    </row>
    <row r="179" spans="1:18" s="387" customFormat="1" ht="45.75" customHeight="1" x14ac:dyDescent="0.2">
      <c r="A179" s="41"/>
      <c r="B179" s="42"/>
      <c r="C179" s="544"/>
      <c r="D179" s="418" t="s">
        <v>527</v>
      </c>
      <c r="E179" s="38"/>
      <c r="F179" s="545"/>
      <c r="G179" s="39">
        <v>330150</v>
      </c>
      <c r="H179" s="405"/>
      <c r="I179" s="406"/>
      <c r="J179" s="407"/>
      <c r="K179" s="39"/>
      <c r="L179" s="39"/>
      <c r="M179" s="82">
        <f>40000+40000+40000+40000+40000+40000+50150</f>
        <v>290150</v>
      </c>
      <c r="N179" s="82">
        <f>G179-M179</f>
        <v>40000</v>
      </c>
      <c r="O179" s="82"/>
      <c r="P179" s="82"/>
      <c r="Q179" s="386" t="s">
        <v>534</v>
      </c>
      <c r="R179" s="393"/>
    </row>
    <row r="180" spans="1:18" s="387" customFormat="1" ht="47.25" x14ac:dyDescent="0.2">
      <c r="A180" s="41"/>
      <c r="B180" s="42"/>
      <c r="C180" s="544"/>
      <c r="D180" s="418" t="s">
        <v>528</v>
      </c>
      <c r="E180" s="38"/>
      <c r="F180" s="545"/>
      <c r="G180" s="39">
        <v>62050</v>
      </c>
      <c r="H180" s="405"/>
      <c r="I180" s="406"/>
      <c r="J180" s="407"/>
      <c r="K180" s="39"/>
      <c r="L180" s="39"/>
      <c r="M180" s="82">
        <v>62050</v>
      </c>
      <c r="N180" s="82">
        <f t="shared" ref="N180:N201" si="78">G180-M180</f>
        <v>0</v>
      </c>
      <c r="O180" s="82"/>
      <c r="P180" s="82"/>
      <c r="Q180" s="386" t="s">
        <v>535</v>
      </c>
    </row>
    <row r="181" spans="1:18" s="387" customFormat="1" ht="42" x14ac:dyDescent="0.2">
      <c r="A181" s="41"/>
      <c r="B181" s="42"/>
      <c r="C181" s="544"/>
      <c r="D181" s="418" t="s">
        <v>529</v>
      </c>
      <c r="E181" s="38"/>
      <c r="F181" s="545"/>
      <c r="G181" s="39">
        <v>93100</v>
      </c>
      <c r="H181" s="405"/>
      <c r="I181" s="406"/>
      <c r="J181" s="407"/>
      <c r="K181" s="39"/>
      <c r="L181" s="39"/>
      <c r="M181" s="82">
        <f>93100-50150+2500+21000+26650</f>
        <v>93100</v>
      </c>
      <c r="N181" s="82">
        <f t="shared" si="78"/>
        <v>0</v>
      </c>
      <c r="O181" s="82"/>
      <c r="P181" s="82"/>
      <c r="Q181" s="386" t="s">
        <v>293</v>
      </c>
    </row>
    <row r="182" spans="1:18" s="387" customFormat="1" ht="47.25" x14ac:dyDescent="0.2">
      <c r="A182" s="41"/>
      <c r="B182" s="42"/>
      <c r="C182" s="544"/>
      <c r="D182" s="418" t="s">
        <v>530</v>
      </c>
      <c r="E182" s="38"/>
      <c r="F182" s="545"/>
      <c r="G182" s="39">
        <v>47000</v>
      </c>
      <c r="H182" s="405"/>
      <c r="I182" s="406"/>
      <c r="J182" s="407"/>
      <c r="K182" s="39"/>
      <c r="L182" s="39"/>
      <c r="M182" s="82">
        <v>46000</v>
      </c>
      <c r="N182" s="82">
        <f t="shared" si="78"/>
        <v>1000</v>
      </c>
      <c r="O182" s="82"/>
      <c r="P182" s="82"/>
      <c r="Q182" s="386" t="s">
        <v>99</v>
      </c>
    </row>
    <row r="183" spans="1:18" s="387" customFormat="1" ht="36" customHeight="1" x14ac:dyDescent="0.2">
      <c r="A183" s="41"/>
      <c r="B183" s="42"/>
      <c r="C183" s="544"/>
      <c r="D183" s="418" t="s">
        <v>531</v>
      </c>
      <c r="E183" s="38"/>
      <c r="F183" s="545"/>
      <c r="G183" s="39">
        <v>54600</v>
      </c>
      <c r="H183" s="405"/>
      <c r="I183" s="406"/>
      <c r="J183" s="407"/>
      <c r="K183" s="39"/>
      <c r="L183" s="39"/>
      <c r="M183" s="82">
        <v>54600</v>
      </c>
      <c r="N183" s="82">
        <f t="shared" si="78"/>
        <v>0</v>
      </c>
      <c r="O183" s="82"/>
      <c r="P183" s="82"/>
      <c r="Q183" s="386" t="s">
        <v>293</v>
      </c>
    </row>
    <row r="184" spans="1:18" s="387" customFormat="1" ht="63" x14ac:dyDescent="0.2">
      <c r="A184" s="41"/>
      <c r="B184" s="42"/>
      <c r="C184" s="544"/>
      <c r="D184" s="418" t="s">
        <v>532</v>
      </c>
      <c r="E184" s="38"/>
      <c r="F184" s="545"/>
      <c r="G184" s="39">
        <v>25950</v>
      </c>
      <c r="H184" s="405"/>
      <c r="I184" s="406"/>
      <c r="J184" s="407"/>
      <c r="K184" s="39"/>
      <c r="L184" s="39"/>
      <c r="M184" s="82">
        <f>3000+22950</f>
        <v>25950</v>
      </c>
      <c r="N184" s="82">
        <f t="shared" si="78"/>
        <v>0</v>
      </c>
      <c r="O184" s="82"/>
      <c r="P184" s="82"/>
      <c r="Q184" s="386" t="s">
        <v>536</v>
      </c>
    </row>
    <row r="185" spans="1:18" s="387" customFormat="1" ht="63" x14ac:dyDescent="0.2">
      <c r="A185" s="41"/>
      <c r="B185" s="42"/>
      <c r="C185" s="544"/>
      <c r="D185" s="418" t="s">
        <v>533</v>
      </c>
      <c r="E185" s="38"/>
      <c r="F185" s="545"/>
      <c r="G185" s="39">
        <v>44320</v>
      </c>
      <c r="H185" s="405"/>
      <c r="I185" s="406"/>
      <c r="J185" s="407"/>
      <c r="K185" s="39"/>
      <c r="L185" s="39"/>
      <c r="M185" s="82">
        <v>44320</v>
      </c>
      <c r="N185" s="82">
        <f t="shared" si="78"/>
        <v>0</v>
      </c>
      <c r="O185" s="82"/>
      <c r="P185" s="82"/>
      <c r="Q185" s="386" t="s">
        <v>537</v>
      </c>
    </row>
    <row r="186" spans="1:18" s="387" customFormat="1" ht="63" x14ac:dyDescent="0.2">
      <c r="A186" s="41"/>
      <c r="B186" s="42"/>
      <c r="C186" s="544"/>
      <c r="D186" s="418" t="s">
        <v>538</v>
      </c>
      <c r="E186" s="38"/>
      <c r="F186" s="545"/>
      <c r="G186" s="39">
        <v>15320</v>
      </c>
      <c r="H186" s="405"/>
      <c r="I186" s="406"/>
      <c r="J186" s="407"/>
      <c r="K186" s="39"/>
      <c r="L186" s="39"/>
      <c r="M186" s="82">
        <v>15320</v>
      </c>
      <c r="N186" s="82">
        <f t="shared" si="78"/>
        <v>0</v>
      </c>
      <c r="O186" s="82"/>
      <c r="P186" s="82"/>
      <c r="Q186" s="386" t="s">
        <v>537</v>
      </c>
    </row>
    <row r="187" spans="1:18" s="387" customFormat="1" ht="63" x14ac:dyDescent="0.2">
      <c r="A187" s="41"/>
      <c r="B187" s="42"/>
      <c r="C187" s="544"/>
      <c r="D187" s="418" t="s">
        <v>539</v>
      </c>
      <c r="E187" s="38"/>
      <c r="F187" s="545"/>
      <c r="G187" s="39">
        <v>10720</v>
      </c>
      <c r="H187" s="405"/>
      <c r="I187" s="406"/>
      <c r="J187" s="407"/>
      <c r="K187" s="39"/>
      <c r="L187" s="39"/>
      <c r="M187" s="82">
        <v>10720</v>
      </c>
      <c r="N187" s="82">
        <f t="shared" si="78"/>
        <v>0</v>
      </c>
      <c r="O187" s="82"/>
      <c r="P187" s="82"/>
      <c r="Q187" s="386" t="s">
        <v>537</v>
      </c>
    </row>
    <row r="188" spans="1:18" s="387" customFormat="1" ht="63" x14ac:dyDescent="0.2">
      <c r="A188" s="41"/>
      <c r="B188" s="42"/>
      <c r="C188" s="544"/>
      <c r="D188" s="418" t="s">
        <v>540</v>
      </c>
      <c r="E188" s="38"/>
      <c r="F188" s="545"/>
      <c r="G188" s="39">
        <v>154500</v>
      </c>
      <c r="H188" s="405"/>
      <c r="I188" s="406"/>
      <c r="J188" s="407"/>
      <c r="K188" s="39"/>
      <c r="L188" s="39"/>
      <c r="M188" s="82">
        <f>117000+37500</f>
        <v>154500</v>
      </c>
      <c r="N188" s="82">
        <f t="shared" si="78"/>
        <v>0</v>
      </c>
      <c r="O188" s="82"/>
      <c r="P188" s="82"/>
      <c r="Q188" s="386" t="s">
        <v>537</v>
      </c>
    </row>
    <row r="189" spans="1:18" s="387" customFormat="1" ht="47.25" x14ac:dyDescent="0.2">
      <c r="A189" s="41"/>
      <c r="B189" s="42"/>
      <c r="C189" s="544"/>
      <c r="D189" s="418" t="s">
        <v>541</v>
      </c>
      <c r="E189" s="38"/>
      <c r="F189" s="545"/>
      <c r="G189" s="39">
        <v>53000</v>
      </c>
      <c r="H189" s="405"/>
      <c r="I189" s="406"/>
      <c r="J189" s="407"/>
      <c r="K189" s="39"/>
      <c r="L189" s="39"/>
      <c r="M189" s="82">
        <f>700+7200+24100+21000</f>
        <v>53000</v>
      </c>
      <c r="N189" s="82">
        <f t="shared" si="78"/>
        <v>0</v>
      </c>
      <c r="O189" s="82"/>
      <c r="P189" s="82"/>
      <c r="Q189" s="386" t="s">
        <v>548</v>
      </c>
    </row>
    <row r="190" spans="1:18" s="387" customFormat="1" ht="31.5" x14ac:dyDescent="0.2">
      <c r="A190" s="41"/>
      <c r="B190" s="42"/>
      <c r="C190" s="544"/>
      <c r="D190" s="418" t="s">
        <v>542</v>
      </c>
      <c r="E190" s="38"/>
      <c r="F190" s="545"/>
      <c r="G190" s="39">
        <v>13000</v>
      </c>
      <c r="H190" s="405"/>
      <c r="I190" s="406"/>
      <c r="J190" s="407"/>
      <c r="K190" s="39"/>
      <c r="L190" s="39"/>
      <c r="M190" s="82">
        <v>13000</v>
      </c>
      <c r="N190" s="82">
        <f t="shared" si="78"/>
        <v>0</v>
      </c>
      <c r="O190" s="82"/>
      <c r="P190" s="82"/>
      <c r="Q190" s="386" t="s">
        <v>293</v>
      </c>
    </row>
    <row r="191" spans="1:18" s="387" customFormat="1" ht="63" x14ac:dyDescent="0.2">
      <c r="A191" s="41"/>
      <c r="B191" s="42"/>
      <c r="C191" s="544"/>
      <c r="D191" s="418" t="s">
        <v>543</v>
      </c>
      <c r="E191" s="38"/>
      <c r="F191" s="545"/>
      <c r="G191" s="39">
        <v>5000</v>
      </c>
      <c r="H191" s="405"/>
      <c r="I191" s="406"/>
      <c r="J191" s="407"/>
      <c r="K191" s="39"/>
      <c r="L191" s="39"/>
      <c r="M191" s="82"/>
      <c r="N191" s="82">
        <f t="shared" si="78"/>
        <v>5000</v>
      </c>
      <c r="O191" s="82"/>
      <c r="P191" s="82"/>
      <c r="Q191" s="386" t="s">
        <v>537</v>
      </c>
    </row>
    <row r="192" spans="1:18" s="387" customFormat="1" ht="47.25" x14ac:dyDescent="0.2">
      <c r="A192" s="41"/>
      <c r="B192" s="42"/>
      <c r="C192" s="544"/>
      <c r="D192" s="418" t="s">
        <v>544</v>
      </c>
      <c r="E192" s="38"/>
      <c r="F192" s="545"/>
      <c r="G192" s="39">
        <v>20000</v>
      </c>
      <c r="H192" s="405"/>
      <c r="I192" s="406"/>
      <c r="J192" s="407"/>
      <c r="K192" s="39"/>
      <c r="L192" s="39"/>
      <c r="M192" s="82">
        <v>20000</v>
      </c>
      <c r="N192" s="82">
        <f t="shared" si="78"/>
        <v>0</v>
      </c>
      <c r="O192" s="82"/>
      <c r="P192" s="82"/>
      <c r="Q192" s="386" t="s">
        <v>535</v>
      </c>
    </row>
    <row r="193" spans="1:17" s="387" customFormat="1" ht="63" x14ac:dyDescent="0.2">
      <c r="A193" s="41"/>
      <c r="B193" s="42"/>
      <c r="C193" s="544"/>
      <c r="D193" s="418" t="s">
        <v>545</v>
      </c>
      <c r="E193" s="38"/>
      <c r="F193" s="545"/>
      <c r="G193" s="39">
        <v>3000</v>
      </c>
      <c r="H193" s="405"/>
      <c r="I193" s="406"/>
      <c r="J193" s="407"/>
      <c r="K193" s="39"/>
      <c r="L193" s="39"/>
      <c r="M193" s="82">
        <v>3000</v>
      </c>
      <c r="N193" s="82">
        <f t="shared" si="78"/>
        <v>0</v>
      </c>
      <c r="O193" s="82"/>
      <c r="P193" s="82"/>
      <c r="Q193" s="386" t="s">
        <v>537</v>
      </c>
    </row>
    <row r="194" spans="1:17" s="387" customFormat="1" ht="63" x14ac:dyDescent="0.2">
      <c r="A194" s="41"/>
      <c r="B194" s="42"/>
      <c r="C194" s="544"/>
      <c r="D194" s="418" t="s">
        <v>546</v>
      </c>
      <c r="E194" s="38"/>
      <c r="F194" s="545"/>
      <c r="G194" s="39">
        <v>14400</v>
      </c>
      <c r="H194" s="405"/>
      <c r="I194" s="406"/>
      <c r="J194" s="407"/>
      <c r="K194" s="39"/>
      <c r="L194" s="39"/>
      <c r="M194" s="82">
        <f>14000+90</f>
        <v>14090</v>
      </c>
      <c r="N194" s="82">
        <f t="shared" si="78"/>
        <v>310</v>
      </c>
      <c r="O194" s="82"/>
      <c r="P194" s="82"/>
      <c r="Q194" s="386" t="s">
        <v>537</v>
      </c>
    </row>
    <row r="195" spans="1:17" s="387" customFormat="1" ht="63" x14ac:dyDescent="0.2">
      <c r="A195" s="41"/>
      <c r="B195" s="42"/>
      <c r="C195" s="544"/>
      <c r="D195" s="418" t="s">
        <v>547</v>
      </c>
      <c r="E195" s="38"/>
      <c r="F195" s="545"/>
      <c r="G195" s="39">
        <v>40000</v>
      </c>
      <c r="H195" s="405"/>
      <c r="I195" s="406"/>
      <c r="J195" s="407"/>
      <c r="K195" s="39"/>
      <c r="L195" s="39"/>
      <c r="M195" s="82">
        <v>40000</v>
      </c>
      <c r="N195" s="82">
        <f t="shared" si="78"/>
        <v>0</v>
      </c>
      <c r="O195" s="82"/>
      <c r="P195" s="82"/>
      <c r="Q195" s="386" t="s">
        <v>537</v>
      </c>
    </row>
    <row r="196" spans="1:17" s="387" customFormat="1" ht="84" x14ac:dyDescent="0.2">
      <c r="A196" s="41"/>
      <c r="B196" s="42"/>
      <c r="C196" s="544"/>
      <c r="D196" s="418" t="s">
        <v>553</v>
      </c>
      <c r="E196" s="38"/>
      <c r="F196" s="545"/>
      <c r="G196" s="39">
        <v>100000</v>
      </c>
      <c r="H196" s="411"/>
      <c r="I196" s="406"/>
      <c r="J196" s="407"/>
      <c r="K196" s="39"/>
      <c r="L196" s="39"/>
      <c r="M196" s="82">
        <f>80000</f>
        <v>80000</v>
      </c>
      <c r="N196" s="82">
        <f t="shared" si="78"/>
        <v>20000</v>
      </c>
      <c r="O196" s="82"/>
      <c r="P196" s="82"/>
      <c r="Q196" s="546" t="s">
        <v>552</v>
      </c>
    </row>
    <row r="197" spans="1:17" s="387" customFormat="1" ht="147" x14ac:dyDescent="0.2">
      <c r="A197" s="41"/>
      <c r="B197" s="42"/>
      <c r="C197" s="544"/>
      <c r="D197" s="418" t="s">
        <v>554</v>
      </c>
      <c r="E197" s="38"/>
      <c r="F197" s="545"/>
      <c r="G197" s="39">
        <v>499400</v>
      </c>
      <c r="H197" s="405"/>
      <c r="I197" s="406"/>
      <c r="J197" s="407"/>
      <c r="K197" s="39"/>
      <c r="L197" s="39"/>
      <c r="M197" s="82">
        <v>499400</v>
      </c>
      <c r="N197" s="82">
        <f t="shared" si="78"/>
        <v>0</v>
      </c>
      <c r="O197" s="82"/>
      <c r="P197" s="82"/>
      <c r="Q197" s="546" t="s">
        <v>537</v>
      </c>
    </row>
    <row r="198" spans="1:17" s="387" customFormat="1" ht="94.5" x14ac:dyDescent="0.2">
      <c r="A198" s="41"/>
      <c r="B198" s="42"/>
      <c r="C198" s="544"/>
      <c r="D198" s="418" t="s">
        <v>549</v>
      </c>
      <c r="E198" s="38"/>
      <c r="F198" s="545"/>
      <c r="G198" s="39">
        <v>62590</v>
      </c>
      <c r="H198" s="405"/>
      <c r="I198" s="406"/>
      <c r="J198" s="407"/>
      <c r="K198" s="39"/>
      <c r="L198" s="39"/>
      <c r="M198" s="82">
        <f>26650+30000</f>
        <v>56650</v>
      </c>
      <c r="N198" s="82">
        <f t="shared" si="78"/>
        <v>5940</v>
      </c>
      <c r="O198" s="82"/>
      <c r="P198" s="82"/>
      <c r="Q198" s="386" t="s">
        <v>555</v>
      </c>
    </row>
    <row r="199" spans="1:17" s="387" customFormat="1" ht="42" x14ac:dyDescent="0.2">
      <c r="A199" s="41"/>
      <c r="B199" s="42"/>
      <c r="C199" s="544"/>
      <c r="D199" s="418" t="s">
        <v>557</v>
      </c>
      <c r="E199" s="38"/>
      <c r="F199" s="545"/>
      <c r="G199" s="39">
        <v>15000</v>
      </c>
      <c r="H199" s="405"/>
      <c r="I199" s="406"/>
      <c r="J199" s="407"/>
      <c r="K199" s="39"/>
      <c r="L199" s="39"/>
      <c r="M199" s="82">
        <v>15000</v>
      </c>
      <c r="N199" s="82">
        <f t="shared" si="78"/>
        <v>0</v>
      </c>
      <c r="O199" s="82"/>
      <c r="P199" s="82"/>
      <c r="Q199" s="546" t="s">
        <v>556</v>
      </c>
    </row>
    <row r="200" spans="1:17" s="387" customFormat="1" ht="31.5" x14ac:dyDescent="0.2">
      <c r="A200" s="41"/>
      <c r="B200" s="42"/>
      <c r="C200" s="544"/>
      <c r="D200" s="418" t="s">
        <v>550</v>
      </c>
      <c r="E200" s="38"/>
      <c r="F200" s="545"/>
      <c r="G200" s="39">
        <v>36900</v>
      </c>
      <c r="H200" s="405"/>
      <c r="I200" s="406"/>
      <c r="J200" s="407"/>
      <c r="K200" s="39"/>
      <c r="L200" s="39"/>
      <c r="M200" s="82">
        <f>20600+5670+8530+2100</f>
        <v>36900</v>
      </c>
      <c r="N200" s="82">
        <f t="shared" si="78"/>
        <v>0</v>
      </c>
      <c r="O200" s="82"/>
      <c r="P200" s="82"/>
      <c r="Q200" s="386" t="s">
        <v>343</v>
      </c>
    </row>
    <row r="201" spans="1:17" s="387" customFormat="1" ht="63" x14ac:dyDescent="0.2">
      <c r="A201" s="41"/>
      <c r="B201" s="42"/>
      <c r="C201" s="544"/>
      <c r="D201" s="418" t="s">
        <v>551</v>
      </c>
      <c r="E201" s="38"/>
      <c r="F201" s="545"/>
      <c r="G201" s="39">
        <v>300000</v>
      </c>
      <c r="H201" s="405"/>
      <c r="I201" s="406"/>
      <c r="J201" s="407"/>
      <c r="K201" s="39"/>
      <c r="L201" s="39"/>
      <c r="M201" s="82"/>
      <c r="N201" s="82">
        <f t="shared" si="78"/>
        <v>300000</v>
      </c>
      <c r="O201" s="82"/>
      <c r="P201" s="82"/>
      <c r="Q201" s="386" t="s">
        <v>537</v>
      </c>
    </row>
    <row r="202" spans="1:17" s="387" customFormat="1" ht="47.25" customHeight="1" x14ac:dyDescent="0.2">
      <c r="A202" s="697" t="s">
        <v>82</v>
      </c>
      <c r="B202" s="674"/>
      <c r="C202" s="674"/>
      <c r="D202" s="675"/>
      <c r="E202" s="138">
        <v>8000000</v>
      </c>
      <c r="F202" s="138">
        <v>0</v>
      </c>
      <c r="G202" s="139">
        <v>8000000</v>
      </c>
      <c r="H202" s="258"/>
      <c r="I202" s="264"/>
      <c r="J202" s="258"/>
      <c r="K202" s="139"/>
      <c r="L202" s="139"/>
      <c r="M202" s="140">
        <f>' 8 ล้าน'!F72</f>
        <v>3640405.7700000005</v>
      </c>
      <c r="N202" s="140">
        <f>G202-M202</f>
        <v>4359594.2299999995</v>
      </c>
      <c r="O202" s="140">
        <f t="shared" si="75"/>
        <v>45.505072125000005</v>
      </c>
      <c r="P202" s="140"/>
      <c r="Q202" s="50"/>
    </row>
    <row r="203" spans="1:17" s="387" customFormat="1" ht="27.75" customHeight="1" x14ac:dyDescent="0.2">
      <c r="A203" s="701" t="s">
        <v>356</v>
      </c>
      <c r="B203" s="702"/>
      <c r="C203" s="702"/>
      <c r="D203" s="703"/>
      <c r="E203" s="138">
        <f>F203+G203</f>
        <v>8543894.6600000001</v>
      </c>
      <c r="F203" s="138">
        <f>F205+F210+F206+F207+F211</f>
        <v>7083894.6600000001</v>
      </c>
      <c r="G203" s="139">
        <f>G213+G215+G217</f>
        <v>1460000</v>
      </c>
      <c r="H203" s="258"/>
      <c r="I203" s="264"/>
      <c r="J203" s="258"/>
      <c r="K203" s="139">
        <f>K205+K210+K206+K207</f>
        <v>1844000</v>
      </c>
      <c r="L203" s="140">
        <f>L205+L210+L206+L207</f>
        <v>592894.65999999992</v>
      </c>
      <c r="M203" s="139">
        <f>M205+M210+M206+M207</f>
        <v>954000</v>
      </c>
      <c r="N203" s="139">
        <f>N205+N210+N206+N207+N211+N213+N215+N217</f>
        <v>9883050</v>
      </c>
      <c r="O203" s="140">
        <f>M203*100/F203</f>
        <v>13.467168073332134</v>
      </c>
      <c r="P203" s="140">
        <f>P205+P210</f>
        <v>0</v>
      </c>
      <c r="Q203" s="50"/>
    </row>
    <row r="204" spans="1:17" s="387" customFormat="1" ht="27.75" customHeight="1" x14ac:dyDescent="0.2">
      <c r="A204" s="137"/>
      <c r="B204" s="672" t="s">
        <v>357</v>
      </c>
      <c r="C204" s="672"/>
      <c r="D204" s="673"/>
      <c r="E204" s="138"/>
      <c r="F204" s="138"/>
      <c r="G204" s="139"/>
      <c r="H204" s="258"/>
      <c r="I204" s="264"/>
      <c r="J204" s="258"/>
      <c r="K204" s="139"/>
      <c r="L204" s="140"/>
      <c r="M204" s="140"/>
      <c r="N204" s="140"/>
      <c r="O204" s="140"/>
      <c r="P204" s="140"/>
      <c r="Q204" s="50"/>
    </row>
    <row r="205" spans="1:17" ht="69" customHeight="1" x14ac:dyDescent="0.2">
      <c r="A205" s="142"/>
      <c r="B205" s="61"/>
      <c r="C205" s="61"/>
      <c r="D205" s="56" t="s">
        <v>447</v>
      </c>
      <c r="E205" s="74">
        <f>F205</f>
        <v>468194.66</v>
      </c>
      <c r="F205" s="74">
        <f>468700-505.34</f>
        <v>468194.66</v>
      </c>
      <c r="G205" s="143"/>
      <c r="H205" s="288" t="s">
        <v>395</v>
      </c>
      <c r="I205" s="430" t="s">
        <v>424</v>
      </c>
      <c r="J205" s="261" t="s">
        <v>423</v>
      </c>
      <c r="K205" s="143">
        <v>468000</v>
      </c>
      <c r="L205" s="144">
        <f>F205-K205</f>
        <v>194.65999999997439</v>
      </c>
      <c r="M205" s="144">
        <v>468000</v>
      </c>
      <c r="N205" s="144">
        <f>K205-M205</f>
        <v>0</v>
      </c>
      <c r="O205" s="144">
        <f>M205*100/K205</f>
        <v>100</v>
      </c>
      <c r="P205" s="144"/>
      <c r="Q205" s="386" t="s">
        <v>25</v>
      </c>
    </row>
    <row r="206" spans="1:17" ht="62.25" customHeight="1" x14ac:dyDescent="0.2">
      <c r="A206" s="142"/>
      <c r="B206" s="61"/>
      <c r="C206" s="61"/>
      <c r="D206" s="56" t="s">
        <v>514</v>
      </c>
      <c r="E206" s="74">
        <f>F206</f>
        <v>1482700</v>
      </c>
      <c r="F206" s="74">
        <v>1482700</v>
      </c>
      <c r="G206" s="143"/>
      <c r="H206" s="257" t="s">
        <v>368</v>
      </c>
      <c r="I206" s="430" t="s">
        <v>572</v>
      </c>
      <c r="J206" s="257" t="s">
        <v>573</v>
      </c>
      <c r="K206" s="143">
        <v>890000</v>
      </c>
      <c r="L206" s="144">
        <f>F206-K206</f>
        <v>592700</v>
      </c>
      <c r="M206" s="144">
        <v>0</v>
      </c>
      <c r="N206" s="144">
        <f>K206-M206</f>
        <v>890000</v>
      </c>
      <c r="O206" s="144">
        <v>0</v>
      </c>
      <c r="P206" s="144"/>
      <c r="Q206" s="386" t="s">
        <v>176</v>
      </c>
    </row>
    <row r="207" spans="1:17" ht="69.75" customHeight="1" x14ac:dyDescent="0.2">
      <c r="A207" s="142"/>
      <c r="B207" s="61"/>
      <c r="C207" s="61"/>
      <c r="D207" s="56" t="s">
        <v>470</v>
      </c>
      <c r="E207" s="74">
        <f>F207</f>
        <v>4300000</v>
      </c>
      <c r="F207" s="74">
        <v>4300000</v>
      </c>
      <c r="G207" s="143"/>
      <c r="H207" s="257" t="s">
        <v>574</v>
      </c>
      <c r="I207" s="547"/>
      <c r="J207" s="261"/>
      <c r="K207" s="143"/>
      <c r="L207" s="143">
        <v>0</v>
      </c>
      <c r="M207" s="144">
        <v>0</v>
      </c>
      <c r="N207" s="144">
        <f>F207</f>
        <v>4300000</v>
      </c>
      <c r="O207" s="144">
        <v>0</v>
      </c>
      <c r="P207" s="144"/>
      <c r="Q207" s="386" t="s">
        <v>28</v>
      </c>
    </row>
    <row r="208" spans="1:17" s="387" customFormat="1" ht="48" customHeight="1" x14ac:dyDescent="0.2">
      <c r="A208" s="137"/>
      <c r="B208" s="672" t="s">
        <v>360</v>
      </c>
      <c r="C208" s="672"/>
      <c r="D208" s="673"/>
      <c r="E208" s="138"/>
      <c r="F208" s="138"/>
      <c r="G208" s="139"/>
      <c r="H208" s="258"/>
      <c r="I208" s="264"/>
      <c r="J208" s="258"/>
      <c r="K208" s="139"/>
      <c r="L208" s="139"/>
      <c r="M208" s="140"/>
      <c r="N208" s="140"/>
      <c r="O208" s="140"/>
      <c r="P208" s="140"/>
      <c r="Q208" s="50"/>
    </row>
    <row r="209" spans="1:18" s="387" customFormat="1" ht="70.5" customHeight="1" x14ac:dyDescent="0.2">
      <c r="A209" s="137"/>
      <c r="B209" s="61"/>
      <c r="C209" s="61"/>
      <c r="D209" s="56" t="s">
        <v>394</v>
      </c>
      <c r="E209" s="138"/>
      <c r="F209" s="138"/>
      <c r="G209" s="139"/>
      <c r="H209" s="258"/>
      <c r="I209" s="264"/>
      <c r="J209" s="258"/>
      <c r="K209" s="139"/>
      <c r="L209" s="139"/>
      <c r="M209" s="140"/>
      <c r="N209" s="140"/>
      <c r="O209" s="140"/>
      <c r="P209" s="140"/>
      <c r="Q209" s="50"/>
    </row>
    <row r="210" spans="1:18" ht="75" x14ac:dyDescent="0.2">
      <c r="A210" s="142"/>
      <c r="B210" s="141"/>
      <c r="C210" s="141"/>
      <c r="D210" s="340" t="s">
        <v>361</v>
      </c>
      <c r="E210" s="74">
        <f>F210</f>
        <v>486000</v>
      </c>
      <c r="F210" s="74">
        <v>486000</v>
      </c>
      <c r="G210" s="143"/>
      <c r="H210" s="260" t="s">
        <v>395</v>
      </c>
      <c r="I210" s="430" t="s">
        <v>418</v>
      </c>
      <c r="J210" s="261" t="s">
        <v>384</v>
      </c>
      <c r="K210" s="143">
        <v>486000</v>
      </c>
      <c r="L210" s="143">
        <f>F210-K210</f>
        <v>0</v>
      </c>
      <c r="M210" s="144">
        <v>486000</v>
      </c>
      <c r="N210" s="144">
        <f>K210-M210</f>
        <v>0</v>
      </c>
      <c r="O210" s="144">
        <f>M210*100/K210</f>
        <v>100</v>
      </c>
      <c r="P210" s="145"/>
      <c r="Q210" s="665" t="s">
        <v>362</v>
      </c>
    </row>
    <row r="211" spans="1:18" ht="75" x14ac:dyDescent="0.2">
      <c r="A211" s="384"/>
      <c r="B211" s="383"/>
      <c r="C211" s="383"/>
      <c r="D211" s="340" t="s">
        <v>575</v>
      </c>
      <c r="E211" s="74"/>
      <c r="F211" s="74">
        <v>347000</v>
      </c>
      <c r="G211" s="143"/>
      <c r="H211" s="260" t="s">
        <v>599</v>
      </c>
      <c r="I211" s="430"/>
      <c r="J211" s="261"/>
      <c r="K211" s="143"/>
      <c r="L211" s="143"/>
      <c r="M211" s="144"/>
      <c r="N211" s="144">
        <v>3470000</v>
      </c>
      <c r="O211" s="144"/>
      <c r="P211" s="145"/>
      <c r="Q211" s="666"/>
    </row>
    <row r="212" spans="1:18" x14ac:dyDescent="0.2">
      <c r="A212" s="689" t="s">
        <v>576</v>
      </c>
      <c r="B212" s="672"/>
      <c r="C212" s="672"/>
      <c r="D212" s="673"/>
      <c r="E212" s="74"/>
      <c r="F212" s="74"/>
      <c r="G212" s="143"/>
      <c r="H212" s="260"/>
      <c r="I212" s="430"/>
      <c r="J212" s="261"/>
      <c r="K212" s="143"/>
      <c r="L212" s="143"/>
      <c r="M212" s="144"/>
      <c r="N212" s="144"/>
      <c r="O212" s="144"/>
      <c r="P212" s="145"/>
      <c r="Q212" s="386"/>
    </row>
    <row r="213" spans="1:18" ht="56.25" x14ac:dyDescent="0.2">
      <c r="A213" s="384"/>
      <c r="B213" s="383"/>
      <c r="C213" s="383"/>
      <c r="D213" s="340" t="s">
        <v>581</v>
      </c>
      <c r="E213" s="74"/>
      <c r="F213" s="74"/>
      <c r="G213" s="143">
        <v>440000</v>
      </c>
      <c r="H213" s="260" t="s">
        <v>589</v>
      </c>
      <c r="I213" s="430"/>
      <c r="J213" s="261"/>
      <c r="K213" s="143"/>
      <c r="L213" s="143"/>
      <c r="M213" s="144"/>
      <c r="N213" s="144">
        <v>440000</v>
      </c>
      <c r="O213" s="144"/>
      <c r="P213" s="145"/>
      <c r="Q213" s="386" t="s">
        <v>582</v>
      </c>
    </row>
    <row r="214" spans="1:18" ht="46.5" customHeight="1" x14ac:dyDescent="0.2">
      <c r="A214" s="689" t="s">
        <v>577</v>
      </c>
      <c r="B214" s="672"/>
      <c r="C214" s="672"/>
      <c r="D214" s="673"/>
      <c r="E214" s="74"/>
      <c r="F214" s="74"/>
      <c r="G214" s="143"/>
      <c r="H214" s="260"/>
      <c r="I214" s="430"/>
      <c r="J214" s="261"/>
      <c r="K214" s="143"/>
      <c r="L214" s="143"/>
      <c r="M214" s="144"/>
      <c r="N214" s="144"/>
      <c r="O214" s="144"/>
      <c r="P214" s="145"/>
      <c r="Q214" s="386"/>
    </row>
    <row r="215" spans="1:18" ht="47.25" x14ac:dyDescent="0.2">
      <c r="A215" s="384"/>
      <c r="B215" s="383"/>
      <c r="C215" s="383"/>
      <c r="D215" s="340" t="s">
        <v>578</v>
      </c>
      <c r="E215" s="74"/>
      <c r="F215" s="74"/>
      <c r="G215" s="143">
        <v>480000</v>
      </c>
      <c r="H215" s="260" t="s">
        <v>355</v>
      </c>
      <c r="I215" s="430"/>
      <c r="J215" s="261"/>
      <c r="K215" s="143"/>
      <c r="L215" s="143"/>
      <c r="M215" s="144"/>
      <c r="N215" s="144">
        <v>480000</v>
      </c>
      <c r="O215" s="144"/>
      <c r="P215" s="145"/>
      <c r="Q215" s="386" t="s">
        <v>583</v>
      </c>
    </row>
    <row r="216" spans="1:18" x14ac:dyDescent="0.2">
      <c r="A216" s="689" t="s">
        <v>579</v>
      </c>
      <c r="B216" s="672"/>
      <c r="C216" s="672"/>
      <c r="D216" s="673"/>
      <c r="E216" s="74"/>
      <c r="F216" s="74"/>
      <c r="G216" s="143"/>
      <c r="H216" s="260"/>
      <c r="I216" s="430"/>
      <c r="J216" s="261"/>
      <c r="K216" s="143"/>
      <c r="L216" s="143"/>
      <c r="M216" s="144"/>
      <c r="N216" s="144"/>
      <c r="O216" s="144"/>
      <c r="P216" s="145"/>
      <c r="Q216" s="386"/>
    </row>
    <row r="217" spans="1:18" ht="37.5" x14ac:dyDescent="0.2">
      <c r="A217" s="384"/>
      <c r="B217" s="383"/>
      <c r="C217" s="383"/>
      <c r="D217" s="340" t="s">
        <v>580</v>
      </c>
      <c r="E217" s="74"/>
      <c r="F217" s="74"/>
      <c r="G217" s="143">
        <v>540000</v>
      </c>
      <c r="H217" s="260" t="s">
        <v>355</v>
      </c>
      <c r="I217" s="430"/>
      <c r="J217" s="261"/>
      <c r="K217" s="143"/>
      <c r="L217" s="143"/>
      <c r="M217" s="144">
        <v>236950</v>
      </c>
      <c r="N217" s="144">
        <f>G217-M217</f>
        <v>303050</v>
      </c>
      <c r="O217" s="144">
        <f>M217*100/G217</f>
        <v>43.879629629629626</v>
      </c>
      <c r="P217" s="145"/>
      <c r="Q217" s="386" t="s">
        <v>584</v>
      </c>
      <c r="R217" s="600">
        <v>22422</v>
      </c>
    </row>
    <row r="218" spans="1:18" ht="21" customHeight="1" x14ac:dyDescent="0.2">
      <c r="A218" s="689" t="s">
        <v>497</v>
      </c>
      <c r="B218" s="672"/>
      <c r="C218" s="672"/>
      <c r="D218" s="673"/>
      <c r="E218" s="74">
        <f>E219+E220+E221</f>
        <v>7117200</v>
      </c>
      <c r="F218" s="74">
        <f>F219+F220+F221</f>
        <v>7117200</v>
      </c>
      <c r="G218" s="143"/>
      <c r="H218" s="260"/>
      <c r="I218" s="430"/>
      <c r="J218" s="261"/>
      <c r="K218" s="143"/>
      <c r="L218" s="143"/>
      <c r="M218" s="144"/>
      <c r="N218" s="144">
        <f>N219+N220+N221</f>
        <v>7117200</v>
      </c>
      <c r="O218" s="144"/>
      <c r="P218" s="145"/>
      <c r="Q218" s="386"/>
    </row>
    <row r="219" spans="1:18" ht="63" customHeight="1" x14ac:dyDescent="0.2">
      <c r="A219" s="384"/>
      <c r="B219" s="383"/>
      <c r="C219" s="383"/>
      <c r="D219" s="340" t="s">
        <v>498</v>
      </c>
      <c r="E219" s="74">
        <f>F219</f>
        <v>5023200</v>
      </c>
      <c r="F219" s="74">
        <v>5023200</v>
      </c>
      <c r="G219" s="143"/>
      <c r="H219" s="260" t="s">
        <v>574</v>
      </c>
      <c r="I219" s="430"/>
      <c r="J219" s="261"/>
      <c r="K219" s="143"/>
      <c r="L219" s="143"/>
      <c r="M219" s="144"/>
      <c r="N219" s="144">
        <f>F219</f>
        <v>5023200</v>
      </c>
      <c r="O219" s="144"/>
      <c r="P219" s="145"/>
      <c r="Q219" s="386" t="s">
        <v>499</v>
      </c>
    </row>
    <row r="220" spans="1:18" ht="93.75" x14ac:dyDescent="0.2">
      <c r="A220" s="384"/>
      <c r="B220" s="383"/>
      <c r="C220" s="383"/>
      <c r="D220" s="340" t="s">
        <v>500</v>
      </c>
      <c r="E220" s="74">
        <f>F220</f>
        <v>494000</v>
      </c>
      <c r="F220" s="74">
        <v>494000</v>
      </c>
      <c r="G220" s="143"/>
      <c r="H220" s="260" t="s">
        <v>603</v>
      </c>
      <c r="I220" s="430"/>
      <c r="J220" s="261"/>
      <c r="K220" s="143"/>
      <c r="L220" s="143"/>
      <c r="M220" s="144"/>
      <c r="N220" s="144">
        <f t="shared" ref="N220:N221" si="79">F220</f>
        <v>494000</v>
      </c>
      <c r="O220" s="144"/>
      <c r="P220" s="145"/>
      <c r="Q220" s="601" t="s">
        <v>24</v>
      </c>
    </row>
    <row r="221" spans="1:18" ht="63" customHeight="1" x14ac:dyDescent="0.2">
      <c r="A221" s="384"/>
      <c r="B221" s="383"/>
      <c r="C221" s="383"/>
      <c r="D221" s="340" t="s">
        <v>501</v>
      </c>
      <c r="E221" s="74">
        <f>F221</f>
        <v>1600000</v>
      </c>
      <c r="F221" s="74">
        <v>1600000</v>
      </c>
      <c r="G221" s="143"/>
      <c r="H221" s="260" t="s">
        <v>574</v>
      </c>
      <c r="I221" s="430"/>
      <c r="J221" s="261"/>
      <c r="K221" s="143"/>
      <c r="L221" s="143"/>
      <c r="M221" s="144"/>
      <c r="N221" s="144">
        <f t="shared" si="79"/>
        <v>1600000</v>
      </c>
      <c r="O221" s="144"/>
      <c r="P221" s="145"/>
      <c r="Q221" s="386" t="s">
        <v>26</v>
      </c>
    </row>
    <row r="222" spans="1:18" s="387" customFormat="1" x14ac:dyDescent="0.2">
      <c r="A222" s="696" t="s">
        <v>83</v>
      </c>
      <c r="B222" s="696"/>
      <c r="C222" s="696"/>
      <c r="D222" s="696"/>
      <c r="E222" s="35">
        <f>E202+E139+E113+E8+E203+E218</f>
        <v>185822000</v>
      </c>
      <c r="F222" s="35">
        <f t="shared" ref="F222:N222" si="80">F202+F139+F113+F8+F203+F218</f>
        <v>110858700</v>
      </c>
      <c r="G222" s="35">
        <f t="shared" si="80"/>
        <v>74963300</v>
      </c>
      <c r="H222" s="35"/>
      <c r="I222" s="35"/>
      <c r="J222" s="35"/>
      <c r="K222" s="90">
        <f t="shared" si="80"/>
        <v>96399605.340000004</v>
      </c>
      <c r="L222" s="90">
        <f t="shared" si="80"/>
        <v>592894.65999999992</v>
      </c>
      <c r="M222" s="90">
        <f t="shared" si="80"/>
        <v>98716411.099999994</v>
      </c>
      <c r="N222" s="90">
        <f t="shared" si="80"/>
        <v>83257992.090000004</v>
      </c>
      <c r="O222" s="78">
        <f>M222*100/E222</f>
        <v>53.124178568737825</v>
      </c>
      <c r="P222" s="78">
        <f>P7</f>
        <v>4091252.15</v>
      </c>
      <c r="Q222" s="45"/>
    </row>
    <row r="225" spans="12:14" x14ac:dyDescent="0.2">
      <c r="L225" s="550"/>
    </row>
    <row r="226" spans="12:14" x14ac:dyDescent="0.2">
      <c r="M226" s="550"/>
    </row>
    <row r="227" spans="12:14" x14ac:dyDescent="0.2">
      <c r="L227" s="58">
        <f>L7+N7+P7</f>
        <v>87942138.900000006</v>
      </c>
      <c r="N227" s="550">
        <f>L222+P222</f>
        <v>4684146.8099999996</v>
      </c>
    </row>
  </sheetData>
  <mergeCells count="71">
    <mergeCell ref="A218:D218"/>
    <mergeCell ref="C42:D42"/>
    <mergeCell ref="A203:D203"/>
    <mergeCell ref="B204:D204"/>
    <mergeCell ref="B208:D208"/>
    <mergeCell ref="C137:D137"/>
    <mergeCell ref="C130:D130"/>
    <mergeCell ref="B123:D123"/>
    <mergeCell ref="C124:D124"/>
    <mergeCell ref="C120:D120"/>
    <mergeCell ref="C111:D111"/>
    <mergeCell ref="A113:D113"/>
    <mergeCell ref="B114:D114"/>
    <mergeCell ref="C115:D115"/>
    <mergeCell ref="A214:D214"/>
    <mergeCell ref="A216:D216"/>
    <mergeCell ref="A3:Q3"/>
    <mergeCell ref="P5:P6"/>
    <mergeCell ref="B103:D103"/>
    <mergeCell ref="C104:D104"/>
    <mergeCell ref="C106:D106"/>
    <mergeCell ref="C77:D77"/>
    <mergeCell ref="C82:D82"/>
    <mergeCell ref="C90:D90"/>
    <mergeCell ref="B96:D96"/>
    <mergeCell ref="C97:D97"/>
    <mergeCell ref="B71:D71"/>
    <mergeCell ref="C72:D72"/>
    <mergeCell ref="B76:D76"/>
    <mergeCell ref="C68:D68"/>
    <mergeCell ref="B41:D41"/>
    <mergeCell ref="E5:G5"/>
    <mergeCell ref="H5:L5"/>
    <mergeCell ref="A222:D222"/>
    <mergeCell ref="C149:D149"/>
    <mergeCell ref="C151:D151"/>
    <mergeCell ref="B153:D153"/>
    <mergeCell ref="C154:D154"/>
    <mergeCell ref="B174:D174"/>
    <mergeCell ref="C175:D175"/>
    <mergeCell ref="C177:D177"/>
    <mergeCell ref="A202:D202"/>
    <mergeCell ref="B140:D140"/>
    <mergeCell ref="C141:D141"/>
    <mergeCell ref="C143:D143"/>
    <mergeCell ref="B148:D148"/>
    <mergeCell ref="B136:D136"/>
    <mergeCell ref="A212:D212"/>
    <mergeCell ref="M5:O5"/>
    <mergeCell ref="N4:Q4"/>
    <mergeCell ref="B44:D44"/>
    <mergeCell ref="C45:D45"/>
    <mergeCell ref="A1:Q1"/>
    <mergeCell ref="A2:Q2"/>
    <mergeCell ref="C35:D35"/>
    <mergeCell ref="C37:D37"/>
    <mergeCell ref="C39:D39"/>
    <mergeCell ref="C13:D13"/>
    <mergeCell ref="Q5:Q6"/>
    <mergeCell ref="A7:D7"/>
    <mergeCell ref="A8:D8"/>
    <mergeCell ref="B9:D9"/>
    <mergeCell ref="A10:D10"/>
    <mergeCell ref="A5:D6"/>
    <mergeCell ref="Q210:Q211"/>
    <mergeCell ref="H63:H64"/>
    <mergeCell ref="I63:I64"/>
    <mergeCell ref="A139:D139"/>
    <mergeCell ref="B117:D117"/>
    <mergeCell ref="C118:D118"/>
    <mergeCell ref="B129:D129"/>
  </mergeCells>
  <pageMargins left="0.19685039370078741" right="0.15748031496062992" top="0.19685039370078741" bottom="0.23622047244094491" header="7.874015748031496E-2" footer="0.11811023622047245"/>
  <pageSetup paperSize="9" scale="68" orientation="landscape" verticalDpi="0" r:id="rId1"/>
  <headerFooter>
    <oddHeader>&amp;R&amp;"TH SarabunPSK,ธรรมดา"&amp;10&amp;A</oddHeader>
    <oddFooter>&amp;C&amp;"TH SarabunPSK,ธรรมดา"หน้าที่ &amp;P&amp;R&amp;"TH SarabunPSK,ธรรมดา"&amp;Z&amp;F</oddFooter>
  </headerFooter>
  <ignoredErrors>
    <ignoredError sqref="Q106 Q109 Q111" formula="1"/>
    <ignoredError sqref="F13 F15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73"/>
  <sheetViews>
    <sheetView workbookViewId="0">
      <selection activeCell="B7" sqref="B7:D7"/>
    </sheetView>
  </sheetViews>
  <sheetFormatPr defaultRowHeight="21" x14ac:dyDescent="0.2"/>
  <cols>
    <col min="1" max="1" width="1.25" style="27" customWidth="1"/>
    <col min="2" max="2" width="1.125" style="27" customWidth="1"/>
    <col min="3" max="3" width="1.625" style="27" customWidth="1"/>
    <col min="4" max="4" width="52.625" style="27" customWidth="1"/>
    <col min="5" max="5" width="11" style="27" customWidth="1"/>
    <col min="6" max="6" width="13" style="58" customWidth="1"/>
    <col min="7" max="7" width="12.625" style="58" customWidth="1"/>
    <col min="8" max="8" width="9.625" style="58" customWidth="1"/>
    <col min="9" max="9" width="7.875" style="58" customWidth="1"/>
    <col min="10" max="10" width="12.125" style="58" customWidth="1"/>
    <col min="11" max="25" width="8.875" style="58" customWidth="1"/>
    <col min="26" max="26" width="12.75" style="59" customWidth="1"/>
    <col min="27" max="16384" width="9" style="27"/>
  </cols>
  <sheetData>
    <row r="1" spans="1:26" x14ac:dyDescent="0.2">
      <c r="A1" s="677" t="s">
        <v>203</v>
      </c>
      <c r="B1" s="677"/>
      <c r="C1" s="677"/>
      <c r="D1" s="677"/>
      <c r="E1" s="677"/>
      <c r="F1" s="677"/>
      <c r="G1" s="677"/>
      <c r="H1" s="677"/>
      <c r="I1" s="677"/>
      <c r="J1" s="677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2">
      <c r="A2" s="677" t="s">
        <v>204</v>
      </c>
      <c r="B2" s="677"/>
      <c r="C2" s="677"/>
      <c r="D2" s="677"/>
      <c r="E2" s="677"/>
      <c r="F2" s="677"/>
      <c r="G2" s="677"/>
      <c r="H2" s="677"/>
      <c r="I2" s="677"/>
      <c r="J2" s="677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x14ac:dyDescent="0.2">
      <c r="A3" s="28"/>
      <c r="B3" s="28"/>
      <c r="C3" s="28"/>
      <c r="D3" s="28"/>
      <c r="E3" s="28"/>
      <c r="F3" s="92"/>
      <c r="G3" s="706" t="s">
        <v>601</v>
      </c>
      <c r="H3" s="706"/>
      <c r="I3" s="706"/>
      <c r="J3" s="706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 spans="1:26" s="29" customFormat="1" ht="17.25" customHeight="1" x14ac:dyDescent="0.2">
      <c r="A4" s="690" t="s">
        <v>0</v>
      </c>
      <c r="B4" s="691"/>
      <c r="C4" s="691"/>
      <c r="D4" s="692"/>
      <c r="E4" s="698" t="s">
        <v>1</v>
      </c>
      <c r="F4" s="625" t="s">
        <v>187</v>
      </c>
      <c r="G4" s="625"/>
      <c r="H4" s="625"/>
      <c r="I4" s="625"/>
      <c r="J4" s="682" t="s">
        <v>2</v>
      </c>
    </row>
    <row r="5" spans="1:26" s="29" customFormat="1" ht="56.25" customHeight="1" x14ac:dyDescent="0.2">
      <c r="A5" s="693"/>
      <c r="B5" s="694"/>
      <c r="C5" s="694"/>
      <c r="D5" s="695"/>
      <c r="E5" s="709"/>
      <c r="F5" s="30" t="s">
        <v>188</v>
      </c>
      <c r="G5" s="30" t="s">
        <v>189</v>
      </c>
      <c r="H5" s="30" t="s">
        <v>287</v>
      </c>
      <c r="I5" s="30" t="s">
        <v>190</v>
      </c>
      <c r="J5" s="683"/>
    </row>
    <row r="6" spans="1:26" s="317" customFormat="1" ht="64.5" customHeight="1" x14ac:dyDescent="0.2">
      <c r="A6" s="710" t="s">
        <v>205</v>
      </c>
      <c r="B6" s="710"/>
      <c r="C6" s="710"/>
      <c r="D6" s="710"/>
      <c r="E6" s="31">
        <f>E7</f>
        <v>300000</v>
      </c>
      <c r="F6" s="78">
        <f>F7</f>
        <v>50255</v>
      </c>
      <c r="G6" s="78">
        <f>G7</f>
        <v>249745</v>
      </c>
      <c r="H6" s="78"/>
      <c r="I6" s="78">
        <f t="shared" ref="I6:I72" si="0">F6*100/E6</f>
        <v>16.751666666666665</v>
      </c>
      <c r="J6" s="77" t="s">
        <v>244</v>
      </c>
    </row>
    <row r="7" spans="1:26" s="317" customFormat="1" ht="42" customHeight="1" x14ac:dyDescent="0.2">
      <c r="A7" s="60"/>
      <c r="B7" s="672" t="s">
        <v>206</v>
      </c>
      <c r="C7" s="672"/>
      <c r="D7" s="673"/>
      <c r="E7" s="32">
        <f>E8+E9+E10+E11+E12</f>
        <v>300000</v>
      </c>
      <c r="F7" s="79">
        <f>F8+F9+F10+F11+F12</f>
        <v>50255</v>
      </c>
      <c r="G7" s="79">
        <f>G8+G9+G10+G11+G12</f>
        <v>249745</v>
      </c>
      <c r="H7" s="79"/>
      <c r="I7" s="78">
        <f t="shared" si="0"/>
        <v>16.751666666666665</v>
      </c>
      <c r="J7" s="32"/>
    </row>
    <row r="8" spans="1:26" s="317" customFormat="1" ht="42" x14ac:dyDescent="0.2">
      <c r="A8" s="55"/>
      <c r="B8" s="61"/>
      <c r="C8" s="61"/>
      <c r="D8" s="56" t="s">
        <v>345</v>
      </c>
      <c r="E8" s="62">
        <v>80000</v>
      </c>
      <c r="F8" s="326">
        <f>31500</f>
        <v>31500</v>
      </c>
      <c r="G8" s="80">
        <f>E8-F8</f>
        <v>48500</v>
      </c>
      <c r="H8" s="80"/>
      <c r="I8" s="80">
        <f t="shared" si="0"/>
        <v>39.375</v>
      </c>
      <c r="J8" s="34"/>
    </row>
    <row r="9" spans="1:26" s="317" customFormat="1" ht="20.25" customHeight="1" x14ac:dyDescent="0.35">
      <c r="A9" s="60"/>
      <c r="B9" s="57"/>
      <c r="C9" s="57"/>
      <c r="D9" s="318" t="s">
        <v>207</v>
      </c>
      <c r="E9" s="72">
        <v>80000</v>
      </c>
      <c r="F9" s="327">
        <f>7400</f>
        <v>7400</v>
      </c>
      <c r="G9" s="80">
        <f t="shared" ref="G9:G12" si="1">E9-F9</f>
        <v>72600</v>
      </c>
      <c r="H9" s="80"/>
      <c r="I9" s="80">
        <f t="shared" si="0"/>
        <v>9.25</v>
      </c>
      <c r="J9" s="34"/>
    </row>
    <row r="10" spans="1:26" s="317" customFormat="1" x14ac:dyDescent="0.35">
      <c r="A10" s="36"/>
      <c r="B10" s="37"/>
      <c r="C10" s="314"/>
      <c r="D10" s="318" t="s">
        <v>208</v>
      </c>
      <c r="E10" s="38">
        <v>80000</v>
      </c>
      <c r="F10" s="82">
        <f>1000+350</f>
        <v>1350</v>
      </c>
      <c r="G10" s="80">
        <f t="shared" si="1"/>
        <v>78650</v>
      </c>
      <c r="H10" s="80"/>
      <c r="I10" s="80">
        <f t="shared" si="0"/>
        <v>1.6875</v>
      </c>
      <c r="J10" s="40"/>
    </row>
    <row r="11" spans="1:26" s="317" customFormat="1" ht="42" x14ac:dyDescent="0.35">
      <c r="A11" s="41"/>
      <c r="B11" s="42"/>
      <c r="C11" s="42"/>
      <c r="D11" s="319" t="s">
        <v>209</v>
      </c>
      <c r="E11" s="38">
        <v>30000</v>
      </c>
      <c r="F11" s="83">
        <f>770+875+875+1050+4725</f>
        <v>8295</v>
      </c>
      <c r="G11" s="80">
        <f t="shared" si="1"/>
        <v>21705</v>
      </c>
      <c r="H11" s="80"/>
      <c r="I11" s="80">
        <f t="shared" si="0"/>
        <v>27.65</v>
      </c>
      <c r="J11" s="40"/>
    </row>
    <row r="12" spans="1:26" s="317" customFormat="1" x14ac:dyDescent="0.35">
      <c r="A12" s="36"/>
      <c r="B12" s="37"/>
      <c r="C12" s="63"/>
      <c r="D12" s="320" t="s">
        <v>210</v>
      </c>
      <c r="E12" s="72">
        <v>30000</v>
      </c>
      <c r="F12" s="81">
        <f>1710</f>
        <v>1710</v>
      </c>
      <c r="G12" s="80">
        <f t="shared" si="1"/>
        <v>28290</v>
      </c>
      <c r="H12" s="80"/>
      <c r="I12" s="80">
        <f t="shared" si="0"/>
        <v>5.7</v>
      </c>
      <c r="J12" s="45"/>
    </row>
    <row r="13" spans="1:26" s="317" customFormat="1" x14ac:dyDescent="0.2">
      <c r="A13" s="689" t="s">
        <v>245</v>
      </c>
      <c r="B13" s="680"/>
      <c r="C13" s="680"/>
      <c r="D13" s="681"/>
      <c r="E13" s="69">
        <f>E14</f>
        <v>580000</v>
      </c>
      <c r="F13" s="69">
        <f t="shared" ref="F13:G13" si="2">F14</f>
        <v>294650</v>
      </c>
      <c r="G13" s="69">
        <f t="shared" si="2"/>
        <v>285350</v>
      </c>
      <c r="H13" s="70"/>
      <c r="I13" s="84">
        <f t="shared" si="0"/>
        <v>50.801724137931032</v>
      </c>
      <c r="J13" s="77" t="s">
        <v>244</v>
      </c>
    </row>
    <row r="14" spans="1:26" s="317" customFormat="1" ht="85.5" customHeight="1" x14ac:dyDescent="0.2">
      <c r="A14" s="33"/>
      <c r="B14" s="46"/>
      <c r="C14" s="672" t="s">
        <v>211</v>
      </c>
      <c r="D14" s="673"/>
      <c r="E14" s="69">
        <f>E15+E16+E17+E18</f>
        <v>580000</v>
      </c>
      <c r="F14" s="69">
        <f t="shared" ref="F14:G14" si="3">F15+F16+F17+F18</f>
        <v>294650</v>
      </c>
      <c r="G14" s="69">
        <f t="shared" si="3"/>
        <v>285350</v>
      </c>
      <c r="H14" s="70"/>
      <c r="I14" s="84">
        <f t="shared" si="0"/>
        <v>50.801724137931032</v>
      </c>
      <c r="J14" s="71"/>
    </row>
    <row r="15" spans="1:26" s="317" customFormat="1" x14ac:dyDescent="0.35">
      <c r="A15" s="36"/>
      <c r="B15" s="37"/>
      <c r="C15" s="37"/>
      <c r="D15" s="318" t="s">
        <v>212</v>
      </c>
      <c r="E15" s="38">
        <v>500000</v>
      </c>
      <c r="F15" s="82">
        <f>56400-8000+56400+56400+56400+56400</f>
        <v>274000</v>
      </c>
      <c r="G15" s="82">
        <f>E15-F15</f>
        <v>226000</v>
      </c>
      <c r="H15" s="82"/>
      <c r="I15" s="82">
        <f t="shared" si="0"/>
        <v>54.8</v>
      </c>
      <c r="J15" s="40"/>
      <c r="L15" s="94">
        <v>22208</v>
      </c>
      <c r="M15" s="95"/>
    </row>
    <row r="16" spans="1:26" s="317" customFormat="1" x14ac:dyDescent="0.35">
      <c r="A16" s="33"/>
      <c r="B16" s="46"/>
      <c r="C16" s="46"/>
      <c r="D16" s="318" t="s">
        <v>213</v>
      </c>
      <c r="E16" s="38">
        <v>30000</v>
      </c>
      <c r="F16" s="82">
        <f>1225+1925+1750+1260+1960+1505+3500+1750+2100+3675</f>
        <v>20650</v>
      </c>
      <c r="G16" s="82">
        <f t="shared" ref="G16:G18" si="4">E16-F16</f>
        <v>9350</v>
      </c>
      <c r="H16" s="82"/>
      <c r="I16" s="82">
        <f t="shared" si="0"/>
        <v>68.833333333333329</v>
      </c>
      <c r="J16" s="40"/>
    </row>
    <row r="17" spans="1:10" s="317" customFormat="1" x14ac:dyDescent="0.35">
      <c r="A17" s="36"/>
      <c r="B17" s="37"/>
      <c r="C17" s="37"/>
      <c r="D17" s="318" t="s">
        <v>214</v>
      </c>
      <c r="E17" s="38">
        <v>40000</v>
      </c>
      <c r="F17" s="82"/>
      <c r="G17" s="82">
        <f t="shared" si="4"/>
        <v>40000</v>
      </c>
      <c r="H17" s="82"/>
      <c r="I17" s="39">
        <f t="shared" si="0"/>
        <v>0</v>
      </c>
      <c r="J17" s="40"/>
    </row>
    <row r="18" spans="1:10" s="317" customFormat="1" x14ac:dyDescent="0.35">
      <c r="A18" s="33"/>
      <c r="B18" s="46"/>
      <c r="C18" s="46"/>
      <c r="D18" s="321" t="s">
        <v>215</v>
      </c>
      <c r="E18" s="38">
        <v>10000</v>
      </c>
      <c r="F18" s="85"/>
      <c r="G18" s="82">
        <f t="shared" si="4"/>
        <v>10000</v>
      </c>
      <c r="H18" s="82"/>
      <c r="I18" s="39">
        <f t="shared" si="0"/>
        <v>0</v>
      </c>
      <c r="J18" s="45"/>
    </row>
    <row r="19" spans="1:10" s="317" customFormat="1" x14ac:dyDescent="0.2">
      <c r="A19" s="705" t="s">
        <v>216</v>
      </c>
      <c r="B19" s="680"/>
      <c r="C19" s="680"/>
      <c r="D19" s="681"/>
      <c r="E19" s="69">
        <f>E20</f>
        <v>100000</v>
      </c>
      <c r="F19" s="86">
        <f>F20</f>
        <v>0</v>
      </c>
      <c r="G19" s="86">
        <f>G20</f>
        <v>100000</v>
      </c>
      <c r="H19" s="86"/>
      <c r="I19" s="73">
        <f t="shared" si="0"/>
        <v>0</v>
      </c>
      <c r="J19" s="77" t="s">
        <v>244</v>
      </c>
    </row>
    <row r="20" spans="1:10" s="317" customFormat="1" ht="41.25" customHeight="1" x14ac:dyDescent="0.2">
      <c r="A20" s="41"/>
      <c r="B20" s="42"/>
      <c r="C20" s="672" t="s">
        <v>217</v>
      </c>
      <c r="D20" s="681"/>
      <c r="E20" s="69">
        <v>100000</v>
      </c>
      <c r="F20" s="84"/>
      <c r="G20" s="84">
        <f>E20-F20</f>
        <v>100000</v>
      </c>
      <c r="H20" s="84"/>
      <c r="I20" s="70">
        <f t="shared" si="0"/>
        <v>0</v>
      </c>
      <c r="J20" s="76"/>
    </row>
    <row r="21" spans="1:10" s="317" customFormat="1" x14ac:dyDescent="0.2">
      <c r="A21" s="705" t="s">
        <v>218</v>
      </c>
      <c r="B21" s="680"/>
      <c r="C21" s="680"/>
      <c r="D21" s="681"/>
      <c r="E21" s="69">
        <f>E22+E30+E37+E38</f>
        <v>4680000</v>
      </c>
      <c r="F21" s="69">
        <f>F22+F30+F37+F38</f>
        <v>2736326.5700000003</v>
      </c>
      <c r="G21" s="69">
        <f>G22+G30+G37+G38</f>
        <v>1943673.4300000002</v>
      </c>
      <c r="H21" s="69">
        <f>H22+H30+H37+H38</f>
        <v>5000</v>
      </c>
      <c r="I21" s="84">
        <f t="shared" si="0"/>
        <v>58.468516452991452</v>
      </c>
      <c r="J21" s="77" t="s">
        <v>244</v>
      </c>
    </row>
    <row r="22" spans="1:10" s="317" customFormat="1" ht="40.5" customHeight="1" x14ac:dyDescent="0.2">
      <c r="A22" s="36"/>
      <c r="B22" s="37"/>
      <c r="C22" s="672" t="s">
        <v>332</v>
      </c>
      <c r="D22" s="673"/>
      <c r="E22" s="69">
        <f>E23+E24+E25+E26+E27+E28+E29</f>
        <v>1425000</v>
      </c>
      <c r="F22" s="87">
        <f>F23+F24+F25+F26+F27+F28+F29</f>
        <v>1072349.3500000001</v>
      </c>
      <c r="G22" s="87">
        <f>G23+G24+G25+G26+G27+G28+G29</f>
        <v>352650.65</v>
      </c>
      <c r="H22" s="84"/>
      <c r="I22" s="84">
        <f t="shared" si="0"/>
        <v>75.252585964912285</v>
      </c>
      <c r="J22" s="71"/>
    </row>
    <row r="23" spans="1:10" s="317" customFormat="1" ht="42" x14ac:dyDescent="0.35">
      <c r="A23" s="48"/>
      <c r="B23" s="46"/>
      <c r="C23" s="46"/>
      <c r="D23" s="319" t="s">
        <v>219</v>
      </c>
      <c r="E23" s="38">
        <f>840000-40000</f>
        <v>800000</v>
      </c>
      <c r="F23" s="82">
        <f>39460.4+52180.4+9710+23741+47530.4+40238+19350+3268+50847+400+41276.9+26940+1288+41040.1+7000+89000</f>
        <v>493270.2</v>
      </c>
      <c r="G23" s="82">
        <f>E23-F23</f>
        <v>306729.8</v>
      </c>
      <c r="H23" s="82"/>
      <c r="I23" s="82">
        <f t="shared" si="0"/>
        <v>61.658774999999999</v>
      </c>
      <c r="J23" s="40"/>
    </row>
    <row r="24" spans="1:10" s="317" customFormat="1" x14ac:dyDescent="0.35">
      <c r="A24" s="36"/>
      <c r="B24" s="37"/>
      <c r="C24" s="37"/>
      <c r="D24" s="318" t="s">
        <v>220</v>
      </c>
      <c r="E24" s="38">
        <v>300000</v>
      </c>
      <c r="F24" s="82">
        <f>4550+350+4750+7670+90850+4820+2400+3900+1200+36400+1250+4060+920+4900+99920+32060</f>
        <v>300000</v>
      </c>
      <c r="G24" s="82">
        <f t="shared" ref="G24:G29" si="5">E24-F24</f>
        <v>0</v>
      </c>
      <c r="H24" s="82"/>
      <c r="I24" s="119">
        <f t="shared" si="0"/>
        <v>100</v>
      </c>
      <c r="J24" s="40"/>
    </row>
    <row r="25" spans="1:10" s="317" customFormat="1" x14ac:dyDescent="0.35">
      <c r="A25" s="36"/>
      <c r="B25" s="37"/>
      <c r="C25" s="37"/>
      <c r="D25" s="318" t="s">
        <v>221</v>
      </c>
      <c r="E25" s="38">
        <v>30000</v>
      </c>
      <c r="F25" s="83">
        <f>792+840+3940+1090+1090+230+220+1155+1634+4900+70+230+1320+640+248+800+4180+1032+248+230+100+670+330+1112+140+110+1140+1112+110+255+32</f>
        <v>30000</v>
      </c>
      <c r="G25" s="82">
        <f t="shared" si="5"/>
        <v>0</v>
      </c>
      <c r="H25" s="82"/>
      <c r="I25" s="82">
        <f t="shared" si="0"/>
        <v>100</v>
      </c>
      <c r="J25" s="40"/>
    </row>
    <row r="26" spans="1:10" s="317" customFormat="1" x14ac:dyDescent="0.35">
      <c r="A26" s="33"/>
      <c r="B26" s="46"/>
      <c r="C26" s="46"/>
      <c r="D26" s="318" t="s">
        <v>222</v>
      </c>
      <c r="E26" s="38">
        <f>100000-51000</f>
        <v>49000</v>
      </c>
      <c r="F26" s="83">
        <f>41350+7650</f>
        <v>49000</v>
      </c>
      <c r="G26" s="82">
        <f t="shared" si="5"/>
        <v>0</v>
      </c>
      <c r="H26" s="82"/>
      <c r="I26" s="82">
        <f t="shared" si="0"/>
        <v>100</v>
      </c>
      <c r="J26" s="40"/>
    </row>
    <row r="27" spans="1:10" s="317" customFormat="1" x14ac:dyDescent="0.35">
      <c r="A27" s="48"/>
      <c r="B27" s="49"/>
      <c r="C27" s="57"/>
      <c r="D27" s="318" t="s">
        <v>223</v>
      </c>
      <c r="E27" s="72">
        <v>30000</v>
      </c>
      <c r="F27" s="81">
        <f>4135.55+3555+1380</f>
        <v>9070.5499999999993</v>
      </c>
      <c r="G27" s="82">
        <f t="shared" si="5"/>
        <v>20929.45</v>
      </c>
      <c r="H27" s="82"/>
      <c r="I27" s="82">
        <f t="shared" si="0"/>
        <v>30.235166666666665</v>
      </c>
      <c r="J27" s="45"/>
    </row>
    <row r="28" spans="1:10" s="317" customFormat="1" ht="42" x14ac:dyDescent="0.35">
      <c r="A28" s="36"/>
      <c r="B28" s="37"/>
      <c r="C28" s="314"/>
      <c r="D28" s="319" t="s">
        <v>224</v>
      </c>
      <c r="E28" s="47">
        <f>20000+40000</f>
        <v>60000</v>
      </c>
      <c r="F28" s="83">
        <f>1575+875+1120+1575+1925+770+350+4550+5000+1575+525+4900+1400+525+525+4900+420+245+525+4375+210+1000+1400+2500+630+350+3850+315+245+350</f>
        <v>48505</v>
      </c>
      <c r="G28" s="82">
        <f t="shared" si="5"/>
        <v>11495</v>
      </c>
      <c r="H28" s="82"/>
      <c r="I28" s="82">
        <f t="shared" si="0"/>
        <v>80.841666666666669</v>
      </c>
      <c r="J28" s="40"/>
    </row>
    <row r="29" spans="1:10" s="317" customFormat="1" ht="42" x14ac:dyDescent="0.2">
      <c r="A29" s="41"/>
      <c r="B29" s="42"/>
      <c r="C29" s="64"/>
      <c r="D29" s="322" t="s">
        <v>465</v>
      </c>
      <c r="E29" s="72">
        <v>156000</v>
      </c>
      <c r="F29" s="81">
        <f>2811.6+4354.8+30000+10907.2+800+1000+3460+86300+2870</f>
        <v>142503.6</v>
      </c>
      <c r="G29" s="82">
        <f t="shared" si="5"/>
        <v>13496.399999999994</v>
      </c>
      <c r="H29" s="82"/>
      <c r="I29" s="82">
        <f t="shared" si="0"/>
        <v>91.348461538461535</v>
      </c>
      <c r="J29" s="45"/>
    </row>
    <row r="30" spans="1:10" s="317" customFormat="1" ht="41.25" customHeight="1" x14ac:dyDescent="0.2">
      <c r="A30" s="65"/>
      <c r="B30" s="672" t="s">
        <v>225</v>
      </c>
      <c r="C30" s="672"/>
      <c r="D30" s="673"/>
      <c r="E30" s="73">
        <f>E31+E32+E33+E34+E35+E36</f>
        <v>1104000</v>
      </c>
      <c r="F30" s="86">
        <f>F31+F32+F33+F34+F35+F36</f>
        <v>549032.22</v>
      </c>
      <c r="G30" s="86">
        <f>G31+G32+G33+G34+G35+G36</f>
        <v>554967.78</v>
      </c>
      <c r="H30" s="109"/>
      <c r="I30" s="109">
        <f t="shared" si="0"/>
        <v>49.731179347826085</v>
      </c>
      <c r="J30" s="77" t="s">
        <v>244</v>
      </c>
    </row>
    <row r="31" spans="1:10" s="317" customFormat="1" ht="42" x14ac:dyDescent="0.35">
      <c r="A31" s="48"/>
      <c r="B31" s="49"/>
      <c r="C31" s="57"/>
      <c r="D31" s="323" t="s">
        <v>226</v>
      </c>
      <c r="E31" s="72">
        <v>180000</v>
      </c>
      <c r="F31" s="81">
        <f>14516.12+15000+15000+15000+15000+15000</f>
        <v>89516.12</v>
      </c>
      <c r="G31" s="81">
        <f>E31-F31</f>
        <v>90483.88</v>
      </c>
      <c r="H31" s="81"/>
      <c r="I31" s="81">
        <f t="shared" si="0"/>
        <v>49.731177777777781</v>
      </c>
      <c r="J31" s="45"/>
    </row>
    <row r="32" spans="1:10" s="317" customFormat="1" ht="42" x14ac:dyDescent="0.2">
      <c r="A32" s="36"/>
      <c r="B32" s="37"/>
      <c r="C32" s="314"/>
      <c r="D32" s="315" t="s">
        <v>227</v>
      </c>
      <c r="E32" s="47">
        <v>156000</v>
      </c>
      <c r="F32" s="83">
        <f>12580.64+13000+13000+13000+13000+13000</f>
        <v>77580.639999999999</v>
      </c>
      <c r="G32" s="81">
        <f t="shared" ref="G32:G36" si="6">E32-F32</f>
        <v>78419.360000000001</v>
      </c>
      <c r="H32" s="81"/>
      <c r="I32" s="81">
        <f t="shared" si="0"/>
        <v>49.731179487179489</v>
      </c>
      <c r="J32" s="40"/>
    </row>
    <row r="33" spans="1:26" s="317" customFormat="1" ht="63" x14ac:dyDescent="0.2">
      <c r="A33" s="36"/>
      <c r="B33" s="57"/>
      <c r="C33" s="57"/>
      <c r="D33" s="56" t="s">
        <v>228</v>
      </c>
      <c r="E33" s="285">
        <v>180000</v>
      </c>
      <c r="F33" s="286">
        <f>14516.12+15000+15000+15000+15000+15000</f>
        <v>89516.12</v>
      </c>
      <c r="G33" s="81">
        <f t="shared" si="6"/>
        <v>90483.88</v>
      </c>
      <c r="H33" s="81"/>
      <c r="I33" s="81">
        <f t="shared" si="0"/>
        <v>49.731177777777781</v>
      </c>
      <c r="J33" s="45"/>
    </row>
    <row r="34" spans="1:26" s="317" customFormat="1" ht="43.5" customHeight="1" x14ac:dyDescent="0.2">
      <c r="A34" s="36"/>
      <c r="B34" s="37"/>
      <c r="C34" s="57"/>
      <c r="D34" s="56" t="s">
        <v>229</v>
      </c>
      <c r="E34" s="75">
        <v>180000</v>
      </c>
      <c r="F34" s="88">
        <f>14516.12+15000+15000+15000+15000+15000</f>
        <v>89516.12</v>
      </c>
      <c r="G34" s="81">
        <f t="shared" si="6"/>
        <v>90483.88</v>
      </c>
      <c r="H34" s="81"/>
      <c r="I34" s="81">
        <f t="shared" si="0"/>
        <v>49.731177777777781</v>
      </c>
      <c r="J34" s="45"/>
    </row>
    <row r="35" spans="1:26" ht="42" x14ac:dyDescent="0.2">
      <c r="A35" s="51"/>
      <c r="B35" s="52"/>
      <c r="C35" s="52"/>
      <c r="D35" s="43" t="s">
        <v>230</v>
      </c>
      <c r="E35" s="47">
        <v>132000</v>
      </c>
      <c r="F35" s="82">
        <f>10645.16+11000+11000+11000+11000+11000</f>
        <v>65645.16</v>
      </c>
      <c r="G35" s="81">
        <f t="shared" si="6"/>
        <v>66354.84</v>
      </c>
      <c r="H35" s="81"/>
      <c r="I35" s="81">
        <f t="shared" si="0"/>
        <v>49.731181818181817</v>
      </c>
      <c r="J35" s="40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s="317" customFormat="1" ht="21" customHeight="1" x14ac:dyDescent="0.35">
      <c r="A36" s="41"/>
      <c r="B36" s="57"/>
      <c r="C36" s="57"/>
      <c r="D36" s="320" t="s">
        <v>231</v>
      </c>
      <c r="E36" s="74">
        <v>276000</v>
      </c>
      <c r="F36" s="89">
        <f>11129.03+11129.03+11500+11500+11500+11500+11500+11500+11500+11500+11500+11500</f>
        <v>137258.06</v>
      </c>
      <c r="G36" s="81">
        <f t="shared" si="6"/>
        <v>138741.94</v>
      </c>
      <c r="H36" s="81"/>
      <c r="I36" s="81">
        <f t="shared" si="0"/>
        <v>49.731181159420288</v>
      </c>
      <c r="J36" s="45"/>
    </row>
    <row r="37" spans="1:26" s="317" customFormat="1" ht="45" customHeight="1" x14ac:dyDescent="0.2">
      <c r="A37" s="36"/>
      <c r="B37" s="37"/>
      <c r="C37" s="672" t="s">
        <v>301</v>
      </c>
      <c r="D37" s="673"/>
      <c r="E37" s="35">
        <f>100000+51000</f>
        <v>151000</v>
      </c>
      <c r="F37" s="90">
        <v>151000</v>
      </c>
      <c r="G37" s="90">
        <f>E37-F37</f>
        <v>0</v>
      </c>
      <c r="H37" s="90"/>
      <c r="I37" s="90">
        <f>F37*100/E37</f>
        <v>100</v>
      </c>
      <c r="J37" s="77" t="s">
        <v>244</v>
      </c>
      <c r="K37" s="707" t="s">
        <v>300</v>
      </c>
      <c r="L37" s="708"/>
      <c r="M37" s="708"/>
      <c r="N37" s="708"/>
      <c r="O37" s="708"/>
    </row>
    <row r="38" spans="1:26" ht="22.5" customHeight="1" x14ac:dyDescent="0.2">
      <c r="A38" s="66"/>
      <c r="B38" s="63"/>
      <c r="C38" s="680" t="s">
        <v>232</v>
      </c>
      <c r="D38" s="681"/>
      <c r="E38" s="73">
        <v>2000000</v>
      </c>
      <c r="F38" s="86">
        <f>F39+F40+F41+F42+F43+F44+F45+F46+F47+F48+F49+F50+F51</f>
        <v>963945</v>
      </c>
      <c r="G38" s="86">
        <f t="shared" ref="G38:G41" si="7">E38-F38</f>
        <v>1036055</v>
      </c>
      <c r="H38" s="86">
        <f>H39+H40+H41+H42+H43+H44+H45+H46</f>
        <v>5000</v>
      </c>
      <c r="I38" s="107">
        <f t="shared" si="0"/>
        <v>48.197249999999997</v>
      </c>
      <c r="J38" s="71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32.25" customHeight="1" x14ac:dyDescent="0.2">
      <c r="A39" s="110"/>
      <c r="B39" s="111"/>
      <c r="C39" s="111"/>
      <c r="D39" s="112" t="s">
        <v>290</v>
      </c>
      <c r="E39" s="113">
        <v>75500</v>
      </c>
      <c r="F39" s="114">
        <f>15000+13500+47000</f>
        <v>75500</v>
      </c>
      <c r="G39" s="114">
        <f t="shared" si="7"/>
        <v>0</v>
      </c>
      <c r="H39" s="114"/>
      <c r="I39" s="115">
        <f t="shared" si="0"/>
        <v>100</v>
      </c>
      <c r="J39" s="116" t="s">
        <v>242</v>
      </c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42.75" customHeight="1" x14ac:dyDescent="0.2">
      <c r="A40" s="66"/>
      <c r="B40" s="316"/>
      <c r="C40" s="316"/>
      <c r="D40" s="315" t="s">
        <v>241</v>
      </c>
      <c r="E40" s="47">
        <v>135600</v>
      </c>
      <c r="F40" s="91">
        <v>92100</v>
      </c>
      <c r="G40" s="91">
        <f t="shared" si="7"/>
        <v>43500</v>
      </c>
      <c r="H40" s="91"/>
      <c r="I40" s="120">
        <f t="shared" si="0"/>
        <v>67.920353982300881</v>
      </c>
      <c r="J40" s="40" t="s">
        <v>243</v>
      </c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42.75" customHeight="1" x14ac:dyDescent="0.2">
      <c r="A41" s="110"/>
      <c r="B41" s="111"/>
      <c r="C41" s="111"/>
      <c r="D41" s="117" t="s">
        <v>291</v>
      </c>
      <c r="E41" s="113">
        <v>130000</v>
      </c>
      <c r="F41" s="114">
        <v>130000</v>
      </c>
      <c r="G41" s="114">
        <f t="shared" si="7"/>
        <v>0</v>
      </c>
      <c r="H41" s="114"/>
      <c r="I41" s="115">
        <f t="shared" si="0"/>
        <v>100</v>
      </c>
      <c r="J41" s="116" t="s">
        <v>22</v>
      </c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48.75" customHeight="1" x14ac:dyDescent="0.2">
      <c r="A42" s="110"/>
      <c r="B42" s="111"/>
      <c r="C42" s="111"/>
      <c r="D42" s="117" t="s">
        <v>271</v>
      </c>
      <c r="E42" s="113">
        <v>143145</v>
      </c>
      <c r="F42" s="114">
        <f>73070+70075-5000</f>
        <v>138145</v>
      </c>
      <c r="G42" s="114">
        <f>E42-F42-H42</f>
        <v>0</v>
      </c>
      <c r="H42" s="114">
        <v>5000</v>
      </c>
      <c r="I42" s="115">
        <v>100</v>
      </c>
      <c r="J42" s="116" t="s">
        <v>261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63" x14ac:dyDescent="0.2">
      <c r="A43" s="66"/>
      <c r="B43" s="316"/>
      <c r="C43" s="316"/>
      <c r="D43" s="315" t="s">
        <v>292</v>
      </c>
      <c r="E43" s="47">
        <v>280000</v>
      </c>
      <c r="F43" s="91">
        <f>40000+40000+40000+40000</f>
        <v>160000</v>
      </c>
      <c r="G43" s="91">
        <f t="shared" ref="G43:G51" si="8">E43-F43</f>
        <v>120000</v>
      </c>
      <c r="H43" s="91"/>
      <c r="I43" s="108">
        <f t="shared" ref="I43:I51" si="9">F43*100/E43</f>
        <v>57.142857142857146</v>
      </c>
      <c r="J43" s="40" t="s">
        <v>293</v>
      </c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42" x14ac:dyDescent="0.2">
      <c r="A44" s="110"/>
      <c r="B44" s="111"/>
      <c r="C44" s="111"/>
      <c r="D44" s="117" t="s">
        <v>302</v>
      </c>
      <c r="E44" s="113">
        <v>50000</v>
      </c>
      <c r="F44" s="114">
        <f>39950+10050</f>
        <v>50000</v>
      </c>
      <c r="G44" s="114">
        <f t="shared" si="8"/>
        <v>0</v>
      </c>
      <c r="H44" s="114"/>
      <c r="I44" s="115">
        <f t="shared" si="9"/>
        <v>100</v>
      </c>
      <c r="J44" s="116" t="s">
        <v>303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53.25" customHeight="1" x14ac:dyDescent="0.2">
      <c r="A45" s="66"/>
      <c r="B45" s="316"/>
      <c r="C45" s="316"/>
      <c r="D45" s="315" t="s">
        <v>333</v>
      </c>
      <c r="E45" s="47">
        <v>22400</v>
      </c>
      <c r="F45" s="91">
        <f>5000</f>
        <v>5000</v>
      </c>
      <c r="G45" s="91">
        <f t="shared" si="8"/>
        <v>17400</v>
      </c>
      <c r="H45" s="91"/>
      <c r="I45" s="108">
        <f t="shared" si="9"/>
        <v>22.321428571428573</v>
      </c>
      <c r="J45" s="40" t="s">
        <v>334</v>
      </c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31.5" x14ac:dyDescent="0.2">
      <c r="A46" s="110"/>
      <c r="B46" s="111"/>
      <c r="C46" s="111"/>
      <c r="D46" s="117" t="s">
        <v>344</v>
      </c>
      <c r="E46" s="113">
        <v>50000</v>
      </c>
      <c r="F46" s="114">
        <v>50000</v>
      </c>
      <c r="G46" s="114">
        <f t="shared" si="8"/>
        <v>0</v>
      </c>
      <c r="H46" s="114"/>
      <c r="I46" s="115">
        <f t="shared" si="9"/>
        <v>100</v>
      </c>
      <c r="J46" s="116" t="s">
        <v>22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42" x14ac:dyDescent="0.2">
      <c r="A47" s="110"/>
      <c r="B47" s="111"/>
      <c r="C47" s="111"/>
      <c r="D47" s="117" t="s">
        <v>426</v>
      </c>
      <c r="E47" s="113">
        <v>81000</v>
      </c>
      <c r="F47" s="114">
        <v>81000</v>
      </c>
      <c r="G47" s="114">
        <f t="shared" si="8"/>
        <v>0</v>
      </c>
      <c r="H47" s="114"/>
      <c r="I47" s="115">
        <f t="shared" si="9"/>
        <v>100</v>
      </c>
      <c r="J47" s="116" t="s">
        <v>31</v>
      </c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96.75" customHeight="1" x14ac:dyDescent="0.2">
      <c r="A48" s="66"/>
      <c r="B48" s="316"/>
      <c r="C48" s="316"/>
      <c r="D48" s="315" t="s">
        <v>479</v>
      </c>
      <c r="E48" s="47">
        <v>361400</v>
      </c>
      <c r="F48" s="91">
        <f>20000+11000+19600+20000+35600</f>
        <v>106200</v>
      </c>
      <c r="G48" s="91">
        <f t="shared" si="8"/>
        <v>255200</v>
      </c>
      <c r="H48" s="91"/>
      <c r="I48" s="108">
        <f t="shared" si="9"/>
        <v>29.385722191477587</v>
      </c>
      <c r="J48" s="40" t="s">
        <v>427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42" x14ac:dyDescent="0.2">
      <c r="A49" s="66"/>
      <c r="B49" s="333"/>
      <c r="C49" s="333"/>
      <c r="D49" s="332" t="s">
        <v>480</v>
      </c>
      <c r="E49" s="47">
        <v>76000</v>
      </c>
      <c r="F49" s="91">
        <f>62500+13500</f>
        <v>76000</v>
      </c>
      <c r="G49" s="91">
        <f t="shared" si="8"/>
        <v>0</v>
      </c>
      <c r="H49" s="91"/>
      <c r="I49" s="108">
        <f t="shared" si="9"/>
        <v>100</v>
      </c>
      <c r="J49" s="40" t="s">
        <v>242</v>
      </c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84" x14ac:dyDescent="0.2">
      <c r="A50" s="66"/>
      <c r="B50" s="372"/>
      <c r="C50" s="372"/>
      <c r="D50" s="340" t="s">
        <v>558</v>
      </c>
      <c r="E50" s="47">
        <v>83500</v>
      </c>
      <c r="F50" s="91"/>
      <c r="G50" s="91">
        <f t="shared" si="8"/>
        <v>83500</v>
      </c>
      <c r="H50" s="91"/>
      <c r="I50" s="108">
        <f t="shared" si="9"/>
        <v>0</v>
      </c>
      <c r="J50" s="40" t="s">
        <v>261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47.25" x14ac:dyDescent="0.2">
      <c r="A51" s="66"/>
      <c r="B51" s="372"/>
      <c r="C51" s="372"/>
      <c r="D51" s="340" t="s">
        <v>559</v>
      </c>
      <c r="E51" s="47">
        <v>50000</v>
      </c>
      <c r="F51" s="91"/>
      <c r="G51" s="91">
        <f t="shared" si="8"/>
        <v>50000</v>
      </c>
      <c r="H51" s="91"/>
      <c r="I51" s="108">
        <f t="shared" si="9"/>
        <v>0</v>
      </c>
      <c r="J51" s="40" t="s">
        <v>560</v>
      </c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68.25" customHeight="1" x14ac:dyDescent="0.2">
      <c r="A52" s="689" t="s">
        <v>233</v>
      </c>
      <c r="B52" s="680"/>
      <c r="C52" s="680"/>
      <c r="D52" s="681"/>
      <c r="E52" s="73">
        <f>E53</f>
        <v>1800000</v>
      </c>
      <c r="F52" s="73">
        <f t="shared" ref="F52:G52" si="10">F53</f>
        <v>419360</v>
      </c>
      <c r="G52" s="73">
        <f t="shared" si="10"/>
        <v>1380640</v>
      </c>
      <c r="H52" s="73"/>
      <c r="I52" s="86">
        <f t="shared" si="0"/>
        <v>23.297777777777778</v>
      </c>
      <c r="J52" s="7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x14ac:dyDescent="0.2">
      <c r="A53" s="66"/>
      <c r="B53" s="67"/>
      <c r="C53" s="672" t="s">
        <v>289</v>
      </c>
      <c r="D53" s="681"/>
      <c r="E53" s="73">
        <v>1800000</v>
      </c>
      <c r="F53" s="86">
        <f>F54+F55+F56+F57+F58+F59+F60+F61+F62+F63</f>
        <v>419360</v>
      </c>
      <c r="G53" s="86">
        <f t="shared" ref="G53:G63" si="11">E53-F53</f>
        <v>1380640</v>
      </c>
      <c r="H53" s="86"/>
      <c r="I53" s="86">
        <f t="shared" si="0"/>
        <v>23.297777777777778</v>
      </c>
      <c r="J53" s="71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42" x14ac:dyDescent="0.2">
      <c r="A54" s="110"/>
      <c r="B54" s="133"/>
      <c r="C54" s="134"/>
      <c r="D54" s="117" t="s">
        <v>298</v>
      </c>
      <c r="E54" s="113">
        <v>14700</v>
      </c>
      <c r="F54" s="114">
        <f>14700</f>
        <v>14700</v>
      </c>
      <c r="G54" s="114">
        <f t="shared" si="11"/>
        <v>0</v>
      </c>
      <c r="H54" s="114"/>
      <c r="I54" s="114">
        <f t="shared" ref="I54:I63" si="12">F54*100/E54</f>
        <v>100</v>
      </c>
      <c r="J54" s="135" t="s">
        <v>244</v>
      </c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63" x14ac:dyDescent="0.2">
      <c r="A55" s="66"/>
      <c r="B55" s="67"/>
      <c r="C55" s="314"/>
      <c r="D55" s="315" t="s">
        <v>299</v>
      </c>
      <c r="E55" s="47">
        <v>240000</v>
      </c>
      <c r="F55" s="91">
        <f>24000+24000+24000+24000+24000</f>
        <v>120000</v>
      </c>
      <c r="G55" s="91">
        <f t="shared" si="11"/>
        <v>120000</v>
      </c>
      <c r="H55" s="91"/>
      <c r="I55" s="91">
        <f t="shared" si="12"/>
        <v>50</v>
      </c>
      <c r="J55" s="118" t="s">
        <v>244</v>
      </c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42" x14ac:dyDescent="0.2">
      <c r="A56" s="110"/>
      <c r="B56" s="133"/>
      <c r="C56" s="134"/>
      <c r="D56" s="117" t="s">
        <v>420</v>
      </c>
      <c r="E56" s="113">
        <v>97960</v>
      </c>
      <c r="F56" s="114">
        <v>97960</v>
      </c>
      <c r="G56" s="114">
        <f t="shared" si="11"/>
        <v>0</v>
      </c>
      <c r="H56" s="114"/>
      <c r="I56" s="114">
        <f t="shared" si="12"/>
        <v>100</v>
      </c>
      <c r="J56" s="135" t="s">
        <v>244</v>
      </c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42" x14ac:dyDescent="0.2">
      <c r="A57" s="66"/>
      <c r="B57" s="67"/>
      <c r="C57" s="314"/>
      <c r="D57" s="315" t="s">
        <v>425</v>
      </c>
      <c r="E57" s="47">
        <v>180000</v>
      </c>
      <c r="F57" s="91">
        <f>20000+20000</f>
        <v>40000</v>
      </c>
      <c r="G57" s="91">
        <f t="shared" si="11"/>
        <v>140000</v>
      </c>
      <c r="H57" s="91"/>
      <c r="I57" s="91">
        <f t="shared" si="12"/>
        <v>22.222222222222221</v>
      </c>
      <c r="J57" s="118" t="s">
        <v>244</v>
      </c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x14ac:dyDescent="0.2">
      <c r="A58" s="66"/>
      <c r="B58" s="67"/>
      <c r="C58" s="314"/>
      <c r="D58" s="315" t="s">
        <v>428</v>
      </c>
      <c r="E58" s="47">
        <v>32100</v>
      </c>
      <c r="F58" s="91"/>
      <c r="G58" s="91">
        <f t="shared" si="11"/>
        <v>32100</v>
      </c>
      <c r="H58" s="91"/>
      <c r="I58" s="47">
        <f t="shared" si="12"/>
        <v>0</v>
      </c>
      <c r="J58" s="118" t="s">
        <v>244</v>
      </c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63" x14ac:dyDescent="0.2">
      <c r="A59" s="110"/>
      <c r="B59" s="133"/>
      <c r="C59" s="134"/>
      <c r="D59" s="117" t="s">
        <v>464</v>
      </c>
      <c r="E59" s="113">
        <v>25000</v>
      </c>
      <c r="F59" s="114">
        <v>25000</v>
      </c>
      <c r="G59" s="114">
        <f t="shared" si="11"/>
        <v>0</v>
      </c>
      <c r="H59" s="114"/>
      <c r="I59" s="114">
        <f t="shared" si="12"/>
        <v>100</v>
      </c>
      <c r="J59" s="135" t="s">
        <v>244</v>
      </c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x14ac:dyDescent="0.2">
      <c r="A60" s="66"/>
      <c r="B60" s="67"/>
      <c r="C60" s="334"/>
      <c r="D60" s="335" t="s">
        <v>482</v>
      </c>
      <c r="E60" s="47">
        <v>14900</v>
      </c>
      <c r="F60" s="91"/>
      <c r="G60" s="91">
        <f t="shared" si="11"/>
        <v>14900</v>
      </c>
      <c r="H60" s="91"/>
      <c r="I60" s="91">
        <f t="shared" si="12"/>
        <v>0</v>
      </c>
      <c r="J60" s="118" t="s">
        <v>244</v>
      </c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42" x14ac:dyDescent="0.2">
      <c r="A61" s="66"/>
      <c r="B61" s="67"/>
      <c r="C61" s="337"/>
      <c r="D61" s="338" t="s">
        <v>485</v>
      </c>
      <c r="E61" s="47">
        <v>190560</v>
      </c>
      <c r="F61" s="91">
        <v>121700</v>
      </c>
      <c r="G61" s="91">
        <f t="shared" si="11"/>
        <v>68860</v>
      </c>
      <c r="H61" s="91"/>
      <c r="I61" s="91">
        <f t="shared" si="12"/>
        <v>63.864399664147776</v>
      </c>
      <c r="J61" s="118" t="s">
        <v>486</v>
      </c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42" x14ac:dyDescent="0.2">
      <c r="A62" s="66"/>
      <c r="B62" s="67"/>
      <c r="C62" s="552"/>
      <c r="D62" s="340" t="s">
        <v>591</v>
      </c>
      <c r="E62" s="47">
        <v>43000</v>
      </c>
      <c r="F62" s="91"/>
      <c r="G62" s="91">
        <f t="shared" si="11"/>
        <v>43000</v>
      </c>
      <c r="H62" s="91"/>
      <c r="I62" s="91">
        <f t="shared" si="12"/>
        <v>0</v>
      </c>
      <c r="J62" s="118" t="s">
        <v>244</v>
      </c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42" x14ac:dyDescent="0.2">
      <c r="A63" s="66"/>
      <c r="B63" s="67"/>
      <c r="C63" s="555"/>
      <c r="D63" s="340" t="s">
        <v>597</v>
      </c>
      <c r="E63" s="47">
        <v>11250</v>
      </c>
      <c r="F63" s="91"/>
      <c r="G63" s="91">
        <f t="shared" si="11"/>
        <v>11250</v>
      </c>
      <c r="H63" s="91"/>
      <c r="I63" s="91">
        <f t="shared" si="12"/>
        <v>0</v>
      </c>
      <c r="J63" s="118" t="s">
        <v>244</v>
      </c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x14ac:dyDescent="0.2">
      <c r="A64" s="705" t="s">
        <v>234</v>
      </c>
      <c r="B64" s="680"/>
      <c r="C64" s="680"/>
      <c r="D64" s="681"/>
      <c r="E64" s="73">
        <f>E65</f>
        <v>540000</v>
      </c>
      <c r="F64" s="86">
        <f>F65</f>
        <v>139814.20000000001</v>
      </c>
      <c r="G64" s="86">
        <f>G65</f>
        <v>400185.8</v>
      </c>
      <c r="H64" s="86"/>
      <c r="I64" s="86">
        <f t="shared" si="0"/>
        <v>25.891518518518524</v>
      </c>
      <c r="J64" s="77" t="s">
        <v>244</v>
      </c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43.5" customHeight="1" x14ac:dyDescent="0.2">
      <c r="A65" s="66"/>
      <c r="B65" s="67"/>
      <c r="C65" s="672" t="s">
        <v>235</v>
      </c>
      <c r="D65" s="681"/>
      <c r="E65" s="73">
        <f>E66+E67+E68+E69+E70+E71</f>
        <v>540000</v>
      </c>
      <c r="F65" s="86">
        <f>F66+F67+F68+F69+F70+F71</f>
        <v>139814.20000000001</v>
      </c>
      <c r="G65" s="86">
        <f>G66+G67+G68+G69+G70+G71</f>
        <v>400185.8</v>
      </c>
      <c r="H65" s="86"/>
      <c r="I65" s="86">
        <f t="shared" si="0"/>
        <v>25.891518518518524</v>
      </c>
      <c r="J65" s="71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x14ac:dyDescent="0.35">
      <c r="A66" s="66"/>
      <c r="B66" s="67"/>
      <c r="C66" s="67"/>
      <c r="D66" s="324" t="s">
        <v>236</v>
      </c>
      <c r="E66" s="47">
        <v>200000</v>
      </c>
      <c r="F66" s="83">
        <f>52866</f>
        <v>52866</v>
      </c>
      <c r="G66" s="83">
        <f>E66-F66</f>
        <v>147134</v>
      </c>
      <c r="H66" s="83"/>
      <c r="I66" s="83">
        <f t="shared" si="0"/>
        <v>26.433</v>
      </c>
      <c r="J66" s="40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x14ac:dyDescent="0.35">
      <c r="A67" s="53"/>
      <c r="B67" s="54"/>
      <c r="C67" s="54"/>
      <c r="D67" s="318" t="s">
        <v>237</v>
      </c>
      <c r="E67" s="47">
        <v>10000</v>
      </c>
      <c r="F67" s="83">
        <f>1580+185+230+230+840+600+570+3808+840+185</f>
        <v>9068</v>
      </c>
      <c r="G67" s="83">
        <f t="shared" ref="G67:G71" si="13">E67-F67</f>
        <v>932</v>
      </c>
      <c r="H67" s="83"/>
      <c r="I67" s="83">
        <f t="shared" si="0"/>
        <v>90.68</v>
      </c>
      <c r="J67" s="40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x14ac:dyDescent="0.35">
      <c r="A68" s="53"/>
      <c r="B68" s="54"/>
      <c r="C68" s="54"/>
      <c r="D68" s="318" t="s">
        <v>238</v>
      </c>
      <c r="E68" s="68">
        <v>100000</v>
      </c>
      <c r="F68" s="83">
        <f>6000</f>
        <v>6000</v>
      </c>
      <c r="G68" s="83">
        <f t="shared" si="13"/>
        <v>94000</v>
      </c>
      <c r="H68" s="83"/>
      <c r="I68" s="83">
        <f t="shared" si="0"/>
        <v>6</v>
      </c>
      <c r="J68" s="40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x14ac:dyDescent="0.35">
      <c r="A69" s="53"/>
      <c r="B69" s="54"/>
      <c r="C69" s="54"/>
      <c r="D69" s="318" t="s">
        <v>239</v>
      </c>
      <c r="E69" s="68">
        <v>20000</v>
      </c>
      <c r="F69" s="83"/>
      <c r="G69" s="83">
        <f t="shared" si="13"/>
        <v>20000</v>
      </c>
      <c r="H69" s="83"/>
      <c r="I69" s="44">
        <f t="shared" si="0"/>
        <v>0</v>
      </c>
      <c r="J69" s="40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42" x14ac:dyDescent="0.35">
      <c r="A70" s="53"/>
      <c r="B70" s="54"/>
      <c r="C70" s="54"/>
      <c r="D70" s="319" t="s">
        <v>240</v>
      </c>
      <c r="E70" s="68">
        <v>54000</v>
      </c>
      <c r="F70" s="83">
        <f>1225+1225+1225+350+700+2450+4200+1650+2100+1225+3500+1225+1750+875+1225+4750+1050+1225+875+875+1225+2100+1050</f>
        <v>38075</v>
      </c>
      <c r="G70" s="83">
        <f t="shared" si="13"/>
        <v>15925</v>
      </c>
      <c r="H70" s="83"/>
      <c r="I70" s="83">
        <f t="shared" si="0"/>
        <v>70.509259259259252</v>
      </c>
      <c r="J70" s="40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x14ac:dyDescent="0.35">
      <c r="A71" s="53"/>
      <c r="B71" s="54"/>
      <c r="C71" s="54"/>
      <c r="D71" s="325" t="s">
        <v>247</v>
      </c>
      <c r="E71" s="68">
        <v>156000</v>
      </c>
      <c r="F71" s="83">
        <f>4541+6811+11163.4+4964+6325.8</f>
        <v>33805.200000000004</v>
      </c>
      <c r="G71" s="83">
        <f t="shared" si="13"/>
        <v>122194.79999999999</v>
      </c>
      <c r="H71" s="83"/>
      <c r="I71" s="83">
        <f t="shared" si="0"/>
        <v>21.67</v>
      </c>
      <c r="J71" s="40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s="317" customFormat="1" x14ac:dyDescent="0.2">
      <c r="A72" s="696" t="s">
        <v>83</v>
      </c>
      <c r="B72" s="696"/>
      <c r="C72" s="696"/>
      <c r="D72" s="696"/>
      <c r="E72" s="35">
        <f>E6+E13+E19+E21+E52+E64</f>
        <v>8000000</v>
      </c>
      <c r="F72" s="90">
        <f>F6+F13+F19+F21+F52+F64</f>
        <v>3640405.7700000005</v>
      </c>
      <c r="G72" s="90">
        <f>G6+G13+G19+G21+G52+G64</f>
        <v>4359594.2300000004</v>
      </c>
      <c r="H72" s="90">
        <f>H6+H13+H19+H21+H52+H64</f>
        <v>5000</v>
      </c>
      <c r="I72" s="90">
        <f t="shared" si="0"/>
        <v>45.505072125000005</v>
      </c>
      <c r="J72" s="45"/>
    </row>
    <row r="73" spans="1:26" x14ac:dyDescent="0.2">
      <c r="J73" s="59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</sheetData>
  <mergeCells count="24">
    <mergeCell ref="K37:O37"/>
    <mergeCell ref="C38:D38"/>
    <mergeCell ref="A72:D72"/>
    <mergeCell ref="E4:E5"/>
    <mergeCell ref="B7:D7"/>
    <mergeCell ref="A13:D13"/>
    <mergeCell ref="C14:D14"/>
    <mergeCell ref="A19:D19"/>
    <mergeCell ref="C20:D20"/>
    <mergeCell ref="C37:D37"/>
    <mergeCell ref="B30:D30"/>
    <mergeCell ref="A6:D6"/>
    <mergeCell ref="A21:D21"/>
    <mergeCell ref="C22:D22"/>
    <mergeCell ref="C65:D65"/>
    <mergeCell ref="A52:D52"/>
    <mergeCell ref="A64:D64"/>
    <mergeCell ref="C53:D53"/>
    <mergeCell ref="G3:J3"/>
    <mergeCell ref="A1:J1"/>
    <mergeCell ref="A2:J2"/>
    <mergeCell ref="A4:D5"/>
    <mergeCell ref="F4:I4"/>
    <mergeCell ref="J4:J5"/>
  </mergeCells>
  <pageMargins left="0.19685039370078741" right="0.19685039370078741" top="0.27559055118110237" bottom="0.19685039370078741" header="0.31496062992125984" footer="0.19685039370078741"/>
  <pageSetup paperSize="9" scale="7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G6"/>
  <sheetViews>
    <sheetView workbookViewId="0">
      <selection activeCell="D6" sqref="D6"/>
    </sheetView>
  </sheetViews>
  <sheetFormatPr defaultRowHeight="14.25" x14ac:dyDescent="0.2"/>
  <cols>
    <col min="2" max="2" width="53.625" customWidth="1"/>
    <col min="3" max="3" width="11.875" customWidth="1"/>
    <col min="4" max="4" width="11.125" customWidth="1"/>
    <col min="5" max="5" width="6.25" customWidth="1"/>
    <col min="6" max="6" width="11.375" customWidth="1"/>
    <col min="7" max="7" width="13.25" customWidth="1"/>
  </cols>
  <sheetData>
    <row r="1" spans="1:7" ht="23.25" x14ac:dyDescent="0.2">
      <c r="A1" s="711" t="s">
        <v>336</v>
      </c>
      <c r="B1" s="712"/>
      <c r="C1" s="712"/>
      <c r="D1" s="712"/>
      <c r="E1" s="712"/>
      <c r="F1" s="712"/>
      <c r="G1" s="712"/>
    </row>
    <row r="3" spans="1:7" ht="21" x14ac:dyDescent="0.2">
      <c r="A3" s="713" t="s">
        <v>337</v>
      </c>
      <c r="B3" s="713" t="s">
        <v>0</v>
      </c>
      <c r="C3" s="713" t="s">
        <v>1</v>
      </c>
      <c r="D3" s="713" t="s">
        <v>338</v>
      </c>
      <c r="E3" s="713"/>
      <c r="F3" s="713"/>
      <c r="G3" s="713" t="s">
        <v>339</v>
      </c>
    </row>
    <row r="4" spans="1:7" ht="21" x14ac:dyDescent="0.2">
      <c r="A4" s="713"/>
      <c r="B4" s="713"/>
      <c r="C4" s="713"/>
      <c r="D4" s="121" t="s">
        <v>340</v>
      </c>
      <c r="E4" s="121" t="s">
        <v>190</v>
      </c>
      <c r="F4" s="121" t="s">
        <v>341</v>
      </c>
      <c r="G4" s="713"/>
    </row>
    <row r="5" spans="1:7" ht="53.25" customHeight="1" x14ac:dyDescent="0.35">
      <c r="A5" s="122">
        <v>1</v>
      </c>
      <c r="B5" s="123" t="s">
        <v>342</v>
      </c>
      <c r="C5" s="124">
        <v>250000</v>
      </c>
      <c r="D5" s="125">
        <f>15000+15000+42083+15000+15000+15000+15000</f>
        <v>132083</v>
      </c>
      <c r="E5" s="126">
        <f>D5*100/C5</f>
        <v>52.833199999999998</v>
      </c>
      <c r="F5" s="127">
        <f>C5-D5</f>
        <v>117917</v>
      </c>
      <c r="G5" s="128" t="s">
        <v>343</v>
      </c>
    </row>
    <row r="6" spans="1:7" ht="21" x14ac:dyDescent="0.35">
      <c r="A6" s="129"/>
      <c r="B6" s="129" t="s">
        <v>3</v>
      </c>
      <c r="C6" s="130">
        <f>C5</f>
        <v>250000</v>
      </c>
      <c r="D6" s="130">
        <f>D5</f>
        <v>132083</v>
      </c>
      <c r="E6" s="131">
        <f>E5</f>
        <v>52.833199999999998</v>
      </c>
      <c r="F6" s="130">
        <f>F5</f>
        <v>117917</v>
      </c>
      <c r="G6" s="132"/>
    </row>
  </sheetData>
  <mergeCells count="6">
    <mergeCell ref="A1:G1"/>
    <mergeCell ref="A3:A4"/>
    <mergeCell ref="B3:B4"/>
    <mergeCell ref="C3:C4"/>
    <mergeCell ref="D3:F3"/>
    <mergeCell ref="G3:G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opLeftCell="A6" zoomScale="80" zoomScaleNormal="80" workbookViewId="0">
      <selection activeCell="S72" sqref="S72"/>
    </sheetView>
  </sheetViews>
  <sheetFormatPr defaultRowHeight="21" x14ac:dyDescent="0.2"/>
  <cols>
    <col min="1" max="1" width="4" style="27" customWidth="1"/>
    <col min="2" max="2" width="1.25" style="27" customWidth="1"/>
    <col min="3" max="3" width="1.125" style="27" customWidth="1"/>
    <col min="4" max="4" width="1.625" style="27" customWidth="1"/>
    <col min="5" max="5" width="40.5" style="27" customWidth="1"/>
    <col min="6" max="6" width="14.875" style="27" customWidth="1"/>
    <col min="7" max="7" width="13.75" style="58" customWidth="1"/>
    <col min="8" max="8" width="11.125" style="58" customWidth="1"/>
    <col min="9" max="9" width="10.875" style="58" customWidth="1"/>
    <col min="10" max="10" width="14.25" style="58" customWidth="1"/>
    <col min="11" max="11" width="12.5" style="58" customWidth="1"/>
    <col min="12" max="12" width="13.375" style="58" customWidth="1"/>
    <col min="13" max="13" width="12.5" style="58" customWidth="1"/>
    <col min="14" max="14" width="12.625" style="58" hidden="1" customWidth="1"/>
    <col min="15" max="15" width="15" style="58" hidden="1" customWidth="1"/>
    <col min="16" max="16" width="7.875" style="58" hidden="1" customWidth="1"/>
    <col min="17" max="17" width="11.125" style="58" hidden="1" customWidth="1"/>
    <col min="18" max="18" width="14.25" style="58" customWidth="1"/>
    <col min="19" max="19" width="11.625" style="27" customWidth="1"/>
    <col min="20" max="16384" width="9" style="27"/>
  </cols>
  <sheetData>
    <row r="1" spans="1:19" ht="23.25" x14ac:dyDescent="0.2">
      <c r="A1" s="146"/>
      <c r="B1" s="727" t="s">
        <v>363</v>
      </c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727"/>
      <c r="S1" s="146"/>
    </row>
    <row r="2" spans="1:19" x14ac:dyDescent="0.2">
      <c r="A2" s="719" t="s">
        <v>364</v>
      </c>
      <c r="B2" s="719"/>
      <c r="C2" s="719"/>
      <c r="D2" s="719"/>
      <c r="E2" s="719"/>
      <c r="F2" s="719"/>
      <c r="G2" s="719"/>
      <c r="H2" s="719"/>
      <c r="I2" s="719"/>
      <c r="J2" s="719"/>
      <c r="K2" s="719"/>
      <c r="L2" s="719"/>
      <c r="M2" s="719"/>
      <c r="N2" s="719"/>
      <c r="O2" s="719"/>
      <c r="P2" s="719"/>
      <c r="Q2" s="719"/>
      <c r="R2" s="719"/>
      <c r="S2" s="146"/>
    </row>
    <row r="3" spans="1:19" s="29" customFormat="1" ht="61.5" customHeight="1" x14ac:dyDescent="0.2">
      <c r="A3" s="149" t="s">
        <v>89</v>
      </c>
      <c r="B3" s="728" t="s">
        <v>365</v>
      </c>
      <c r="C3" s="728"/>
      <c r="D3" s="728"/>
      <c r="E3" s="728"/>
      <c r="F3" s="147" t="s">
        <v>369</v>
      </c>
      <c r="G3" s="147" t="s">
        <v>4</v>
      </c>
      <c r="H3" s="147" t="s">
        <v>5</v>
      </c>
      <c r="I3" s="147" t="s">
        <v>182</v>
      </c>
      <c r="J3" s="147" t="s">
        <v>183</v>
      </c>
      <c r="K3" s="147" t="s">
        <v>256</v>
      </c>
      <c r="L3" s="147" t="s">
        <v>184</v>
      </c>
      <c r="M3" s="147" t="s">
        <v>185</v>
      </c>
      <c r="N3" s="147" t="s">
        <v>188</v>
      </c>
      <c r="O3" s="147" t="s">
        <v>189</v>
      </c>
      <c r="P3" s="147" t="s">
        <v>190</v>
      </c>
      <c r="Q3" s="147"/>
      <c r="R3" s="148" t="s">
        <v>366</v>
      </c>
      <c r="S3" s="149" t="s">
        <v>367</v>
      </c>
    </row>
    <row r="4" spans="1:19" s="136" customFormat="1" ht="46.5" customHeight="1" x14ac:dyDescent="0.2">
      <c r="A4" s="158"/>
      <c r="B4" s="721" t="s">
        <v>7</v>
      </c>
      <c r="C4" s="721"/>
      <c r="D4" s="721"/>
      <c r="E4" s="721"/>
      <c r="F4" s="151"/>
      <c r="G4" s="151"/>
      <c r="H4" s="151"/>
      <c r="I4" s="151"/>
      <c r="J4" s="151"/>
      <c r="K4" s="151"/>
      <c r="L4" s="151"/>
      <c r="M4" s="151"/>
      <c r="N4" s="152"/>
      <c r="O4" s="152"/>
      <c r="P4" s="153"/>
      <c r="Q4" s="153"/>
      <c r="R4" s="151"/>
      <c r="S4" s="150"/>
    </row>
    <row r="5" spans="1:19" s="136" customFormat="1" ht="39.75" customHeight="1" x14ac:dyDescent="0.2">
      <c r="A5" s="158"/>
      <c r="B5" s="154"/>
      <c r="C5" s="722" t="s">
        <v>133</v>
      </c>
      <c r="D5" s="722"/>
      <c r="E5" s="723"/>
      <c r="F5" s="155"/>
      <c r="G5" s="155"/>
      <c r="H5" s="155"/>
      <c r="I5" s="155"/>
      <c r="J5" s="155"/>
      <c r="K5" s="155"/>
      <c r="L5" s="155"/>
      <c r="M5" s="155"/>
      <c r="N5" s="156" t="e">
        <f>#REF!+#REF!</f>
        <v>#REF!</v>
      </c>
      <c r="O5" s="156" t="e">
        <f>#REF!+#REF!</f>
        <v>#REF!</v>
      </c>
      <c r="P5" s="156" t="e">
        <f>N5*100/F5</f>
        <v>#REF!</v>
      </c>
      <c r="Q5" s="156"/>
      <c r="R5" s="157"/>
      <c r="S5" s="150"/>
    </row>
    <row r="6" spans="1:19" ht="60.75" x14ac:dyDescent="0.2">
      <c r="A6" s="158"/>
      <c r="B6" s="159"/>
      <c r="C6" s="160"/>
      <c r="D6" s="160"/>
      <c r="E6" s="161" t="s">
        <v>346</v>
      </c>
      <c r="F6" s="162"/>
      <c r="G6" s="162"/>
      <c r="H6" s="162"/>
      <c r="I6" s="163"/>
      <c r="J6" s="162"/>
      <c r="K6" s="162"/>
      <c r="L6" s="162"/>
      <c r="M6" s="162"/>
      <c r="N6" s="164" t="e">
        <f>#REF!+#REF!</f>
        <v>#REF!</v>
      </c>
      <c r="O6" s="164" t="e">
        <f>#REF!+#REF!</f>
        <v>#REF!</v>
      </c>
      <c r="P6" s="165" t="e">
        <f t="shared" ref="P6" si="0">N6*100/F6</f>
        <v>#REF!</v>
      </c>
      <c r="Q6" s="165"/>
      <c r="R6" s="166"/>
      <c r="S6" s="158"/>
    </row>
    <row r="7" spans="1:19" ht="45" customHeight="1" x14ac:dyDescent="0.2">
      <c r="A7" s="158">
        <v>1</v>
      </c>
      <c r="B7" s="159"/>
      <c r="C7" s="160"/>
      <c r="D7" s="160"/>
      <c r="E7" s="161" t="s">
        <v>15</v>
      </c>
      <c r="F7" s="162">
        <f>G7</f>
        <v>3331600</v>
      </c>
      <c r="G7" s="167">
        <v>3331600</v>
      </c>
      <c r="H7" s="162">
        <v>0</v>
      </c>
      <c r="I7" s="168" t="s">
        <v>354</v>
      </c>
      <c r="J7" s="162"/>
      <c r="K7" s="162"/>
      <c r="L7" s="162"/>
      <c r="M7" s="162"/>
      <c r="N7" s="164"/>
      <c r="O7" s="164">
        <f>G7-N7</f>
        <v>3331600</v>
      </c>
      <c r="P7" s="164">
        <v>0</v>
      </c>
      <c r="Q7" s="164"/>
      <c r="R7" s="166" t="s">
        <v>14</v>
      </c>
      <c r="S7" s="158"/>
    </row>
    <row r="8" spans="1:19" ht="45" customHeight="1" x14ac:dyDescent="0.2">
      <c r="A8" s="158">
        <v>2</v>
      </c>
      <c r="B8" s="159"/>
      <c r="C8" s="160"/>
      <c r="D8" s="160"/>
      <c r="E8" s="161" t="s">
        <v>294</v>
      </c>
      <c r="F8" s="162">
        <f>G8</f>
        <v>2000000</v>
      </c>
      <c r="G8" s="167">
        <v>2000000</v>
      </c>
      <c r="H8" s="162">
        <v>0</v>
      </c>
      <c r="I8" s="162" t="s">
        <v>370</v>
      </c>
      <c r="J8" s="162"/>
      <c r="K8" s="162"/>
      <c r="L8" s="162"/>
      <c r="M8" s="162"/>
      <c r="N8" s="164"/>
      <c r="O8" s="164">
        <f>G8-N8</f>
        <v>2000000</v>
      </c>
      <c r="P8" s="164">
        <v>0</v>
      </c>
      <c r="Q8" s="164"/>
      <c r="R8" s="166" t="s">
        <v>14</v>
      </c>
      <c r="S8" s="158"/>
    </row>
    <row r="9" spans="1:19" ht="81" x14ac:dyDescent="0.2">
      <c r="A9" s="158"/>
      <c r="B9" s="159"/>
      <c r="C9" s="160"/>
      <c r="D9" s="160"/>
      <c r="E9" s="161" t="s">
        <v>296</v>
      </c>
      <c r="F9" s="162"/>
      <c r="G9" s="162"/>
      <c r="H9" s="169"/>
      <c r="I9" s="163"/>
      <c r="J9" s="169"/>
      <c r="K9" s="169"/>
      <c r="L9" s="169"/>
      <c r="M9" s="169"/>
      <c r="N9" s="165" t="e">
        <f>#REF!+#REF!</f>
        <v>#REF!</v>
      </c>
      <c r="O9" s="165" t="e">
        <f>#REF!+#REF!</f>
        <v>#REF!</v>
      </c>
      <c r="P9" s="165" t="e">
        <f>N9*100/F9</f>
        <v>#REF!</v>
      </c>
      <c r="Q9" s="165"/>
      <c r="R9" s="166"/>
      <c r="S9" s="158"/>
    </row>
    <row r="10" spans="1:19" ht="40.5" hidden="1" x14ac:dyDescent="0.2">
      <c r="A10" s="158"/>
      <c r="B10" s="170"/>
      <c r="C10" s="171"/>
      <c r="D10" s="171"/>
      <c r="E10" s="172" t="s">
        <v>273</v>
      </c>
      <c r="F10" s="173"/>
      <c r="G10" s="173"/>
      <c r="H10" s="174">
        <v>1400</v>
      </c>
      <c r="I10" s="175" t="s">
        <v>272</v>
      </c>
      <c r="J10" s="174"/>
      <c r="K10" s="174"/>
      <c r="L10" s="174"/>
      <c r="M10" s="174"/>
      <c r="N10" s="176"/>
      <c r="O10" s="176"/>
      <c r="P10" s="176"/>
      <c r="Q10" s="177">
        <v>1400</v>
      </c>
      <c r="R10" s="178" t="s">
        <v>21</v>
      </c>
      <c r="S10" s="158"/>
    </row>
    <row r="11" spans="1:19" ht="40.5" hidden="1" x14ac:dyDescent="0.2">
      <c r="A11" s="158"/>
      <c r="B11" s="170"/>
      <c r="C11" s="171"/>
      <c r="D11" s="171"/>
      <c r="E11" s="172" t="s">
        <v>277</v>
      </c>
      <c r="F11" s="173"/>
      <c r="G11" s="173"/>
      <c r="H11" s="174">
        <v>5670</v>
      </c>
      <c r="I11" s="175" t="s">
        <v>272</v>
      </c>
      <c r="J11" s="174"/>
      <c r="K11" s="174"/>
      <c r="L11" s="174"/>
      <c r="M11" s="174"/>
      <c r="N11" s="176"/>
      <c r="O11" s="176"/>
      <c r="P11" s="176"/>
      <c r="Q11" s="177">
        <v>5670</v>
      </c>
      <c r="R11" s="178" t="s">
        <v>21</v>
      </c>
      <c r="S11" s="158"/>
    </row>
    <row r="12" spans="1:19" ht="35.25" hidden="1" customHeight="1" x14ac:dyDescent="0.2">
      <c r="A12" s="158"/>
      <c r="B12" s="170"/>
      <c r="C12" s="171"/>
      <c r="D12" s="171"/>
      <c r="E12" s="172" t="s">
        <v>278</v>
      </c>
      <c r="F12" s="173"/>
      <c r="G12" s="173"/>
      <c r="H12" s="174">
        <v>9000</v>
      </c>
      <c r="I12" s="175" t="s">
        <v>272</v>
      </c>
      <c r="J12" s="174"/>
      <c r="K12" s="174"/>
      <c r="L12" s="174"/>
      <c r="M12" s="174"/>
      <c r="N12" s="176"/>
      <c r="O12" s="176"/>
      <c r="P12" s="176"/>
      <c r="Q12" s="177">
        <v>9000</v>
      </c>
      <c r="R12" s="178" t="s">
        <v>21</v>
      </c>
      <c r="S12" s="158"/>
    </row>
    <row r="13" spans="1:19" ht="40.5" hidden="1" x14ac:dyDescent="0.2">
      <c r="A13" s="158"/>
      <c r="B13" s="170"/>
      <c r="C13" s="171"/>
      <c r="D13" s="171"/>
      <c r="E13" s="172" t="s">
        <v>279</v>
      </c>
      <c r="F13" s="173"/>
      <c r="G13" s="173"/>
      <c r="H13" s="174">
        <v>105250</v>
      </c>
      <c r="I13" s="175" t="s">
        <v>272</v>
      </c>
      <c r="J13" s="174"/>
      <c r="K13" s="174"/>
      <c r="L13" s="174"/>
      <c r="M13" s="174"/>
      <c r="N13" s="176"/>
      <c r="O13" s="176"/>
      <c r="P13" s="176"/>
      <c r="Q13" s="177">
        <v>105250</v>
      </c>
      <c r="R13" s="178" t="s">
        <v>280</v>
      </c>
      <c r="S13" s="158"/>
    </row>
    <row r="14" spans="1:19" ht="29.25" customHeight="1" x14ac:dyDescent="0.2">
      <c r="A14" s="158">
        <v>3</v>
      </c>
      <c r="B14" s="159"/>
      <c r="C14" s="160"/>
      <c r="D14" s="160"/>
      <c r="E14" s="161" t="s">
        <v>16</v>
      </c>
      <c r="F14" s="179">
        <f>G14</f>
        <v>341500</v>
      </c>
      <c r="G14" s="180">
        <v>341500</v>
      </c>
      <c r="H14" s="181">
        <v>0</v>
      </c>
      <c r="I14" s="182" t="s">
        <v>350</v>
      </c>
      <c r="J14" s="181"/>
      <c r="K14" s="181"/>
      <c r="L14" s="181"/>
      <c r="M14" s="181"/>
      <c r="N14" s="165"/>
      <c r="O14" s="165">
        <f>G14-N14</f>
        <v>341500</v>
      </c>
      <c r="P14" s="165">
        <v>0</v>
      </c>
      <c r="Q14" s="165"/>
      <c r="R14" s="166" t="s">
        <v>39</v>
      </c>
      <c r="S14" s="158"/>
    </row>
    <row r="15" spans="1:19" x14ac:dyDescent="0.2">
      <c r="A15" s="158">
        <v>4</v>
      </c>
      <c r="B15" s="159"/>
      <c r="C15" s="160"/>
      <c r="D15" s="160"/>
      <c r="E15" s="161" t="s">
        <v>17</v>
      </c>
      <c r="F15" s="179">
        <f>G15</f>
        <v>147000</v>
      </c>
      <c r="G15" s="180">
        <v>147000</v>
      </c>
      <c r="H15" s="181">
        <v>0</v>
      </c>
      <c r="I15" s="182" t="s">
        <v>350</v>
      </c>
      <c r="J15" s="181"/>
      <c r="K15" s="181"/>
      <c r="L15" s="181"/>
      <c r="M15" s="181"/>
      <c r="N15" s="165"/>
      <c r="O15" s="165">
        <f t="shared" ref="O15:O18" si="1">G15-N15</f>
        <v>147000</v>
      </c>
      <c r="P15" s="165">
        <v>0</v>
      </c>
      <c r="Q15" s="165"/>
      <c r="R15" s="166" t="s">
        <v>39</v>
      </c>
      <c r="S15" s="158"/>
    </row>
    <row r="16" spans="1:19" ht="80.25" customHeight="1" x14ac:dyDescent="0.2">
      <c r="A16" s="158">
        <v>5</v>
      </c>
      <c r="B16" s="159"/>
      <c r="C16" s="160"/>
      <c r="D16" s="160"/>
      <c r="E16" s="161" t="s">
        <v>18</v>
      </c>
      <c r="F16" s="179">
        <f>G16</f>
        <v>594000</v>
      </c>
      <c r="G16" s="180">
        <v>594000</v>
      </c>
      <c r="H16" s="181">
        <v>0</v>
      </c>
      <c r="I16" s="182" t="s">
        <v>351</v>
      </c>
      <c r="J16" s="181"/>
      <c r="K16" s="181"/>
      <c r="L16" s="181"/>
      <c r="M16" s="181"/>
      <c r="N16" s="165"/>
      <c r="O16" s="165">
        <f t="shared" si="1"/>
        <v>594000</v>
      </c>
      <c r="P16" s="165">
        <v>0</v>
      </c>
      <c r="Q16" s="165"/>
      <c r="R16" s="183" t="s">
        <v>25</v>
      </c>
      <c r="S16" s="158"/>
    </row>
    <row r="17" spans="1:19" ht="40.5" x14ac:dyDescent="0.2">
      <c r="A17" s="158">
        <v>6</v>
      </c>
      <c r="B17" s="184"/>
      <c r="C17" s="185"/>
      <c r="D17" s="185"/>
      <c r="E17" s="186" t="s">
        <v>19</v>
      </c>
      <c r="F17" s="187">
        <f>G17</f>
        <v>396000</v>
      </c>
      <c r="G17" s="188">
        <v>396000</v>
      </c>
      <c r="H17" s="189">
        <v>0</v>
      </c>
      <c r="I17" s="190" t="s">
        <v>352</v>
      </c>
      <c r="J17" s="189"/>
      <c r="K17" s="189"/>
      <c r="L17" s="189"/>
      <c r="M17" s="189"/>
      <c r="N17" s="191"/>
      <c r="O17" s="191">
        <f t="shared" si="1"/>
        <v>396000</v>
      </c>
      <c r="P17" s="191">
        <v>0</v>
      </c>
      <c r="Q17" s="191"/>
      <c r="R17" s="192" t="s">
        <v>25</v>
      </c>
      <c r="S17" s="158"/>
    </row>
    <row r="18" spans="1:19" ht="40.5" x14ac:dyDescent="0.2">
      <c r="A18" s="158">
        <v>7</v>
      </c>
      <c r="B18" s="184"/>
      <c r="C18" s="185"/>
      <c r="D18" s="185"/>
      <c r="E18" s="186" t="s">
        <v>20</v>
      </c>
      <c r="F18" s="187">
        <f>G18</f>
        <v>450000</v>
      </c>
      <c r="G18" s="188">
        <v>450000</v>
      </c>
      <c r="H18" s="189">
        <v>0</v>
      </c>
      <c r="I18" s="190" t="s">
        <v>353</v>
      </c>
      <c r="J18" s="189"/>
      <c r="K18" s="189"/>
      <c r="L18" s="189"/>
      <c r="M18" s="189"/>
      <c r="N18" s="191"/>
      <c r="O18" s="191">
        <f t="shared" si="1"/>
        <v>450000</v>
      </c>
      <c r="P18" s="191">
        <v>0</v>
      </c>
      <c r="Q18" s="191"/>
      <c r="R18" s="166" t="s">
        <v>39</v>
      </c>
      <c r="S18" s="158"/>
    </row>
    <row r="19" spans="1:19" s="136" customFormat="1" ht="25.5" customHeight="1" x14ac:dyDescent="0.2">
      <c r="A19" s="158"/>
      <c r="B19" s="154"/>
      <c r="C19" s="722" t="s">
        <v>145</v>
      </c>
      <c r="D19" s="722"/>
      <c r="E19" s="723"/>
      <c r="F19" s="193"/>
      <c r="G19" s="155"/>
      <c r="H19" s="155"/>
      <c r="I19" s="155"/>
      <c r="J19" s="155"/>
      <c r="K19" s="155"/>
      <c r="L19" s="155"/>
      <c r="M19" s="155"/>
      <c r="N19" s="156" t="e">
        <f>N20+N24+N32</f>
        <v>#REF!</v>
      </c>
      <c r="O19" s="194" t="e">
        <f>O20+O24+O32</f>
        <v>#REF!</v>
      </c>
      <c r="P19" s="194" t="e">
        <f>N19*100/L19</f>
        <v>#REF!</v>
      </c>
      <c r="Q19" s="194"/>
      <c r="R19" s="157"/>
      <c r="S19" s="150"/>
    </row>
    <row r="20" spans="1:19" s="136" customFormat="1" x14ac:dyDescent="0.2">
      <c r="A20" s="158"/>
      <c r="B20" s="195"/>
      <c r="C20" s="196"/>
      <c r="D20" s="714" t="s">
        <v>146</v>
      </c>
      <c r="E20" s="715"/>
      <c r="F20" s="193"/>
      <c r="G20" s="193"/>
      <c r="H20" s="193"/>
      <c r="I20" s="193"/>
      <c r="J20" s="193"/>
      <c r="K20" s="193"/>
      <c r="L20" s="193"/>
      <c r="M20" s="193"/>
      <c r="N20" s="194" t="e">
        <f>#REF!+N21+N22+N23</f>
        <v>#REF!</v>
      </c>
      <c r="O20" s="194" t="e">
        <f>#REF!+O21+O22+O23</f>
        <v>#REF!</v>
      </c>
      <c r="P20" s="194" t="e">
        <f>N20*100/L20</f>
        <v>#REF!</v>
      </c>
      <c r="Q20" s="194"/>
      <c r="R20" s="157"/>
      <c r="S20" s="150"/>
    </row>
    <row r="21" spans="1:19" s="136" customFormat="1" ht="60.75" x14ac:dyDescent="0.2">
      <c r="A21" s="158">
        <v>8</v>
      </c>
      <c r="B21" s="195"/>
      <c r="C21" s="196"/>
      <c r="D21" s="201"/>
      <c r="E21" s="161" t="s">
        <v>265</v>
      </c>
      <c r="F21" s="199">
        <f>G21</f>
        <v>4684400</v>
      </c>
      <c r="G21" s="162">
        <v>4684400</v>
      </c>
      <c r="H21" s="169">
        <v>0</v>
      </c>
      <c r="I21" s="202" t="s">
        <v>368</v>
      </c>
      <c r="J21" s="202" t="s">
        <v>311</v>
      </c>
      <c r="K21" s="202" t="s">
        <v>312</v>
      </c>
      <c r="L21" s="169">
        <v>4275000</v>
      </c>
      <c r="M21" s="169">
        <f>G21-L21</f>
        <v>409400</v>
      </c>
      <c r="N21" s="165"/>
      <c r="O21" s="191">
        <f>L21-N21</f>
        <v>4275000</v>
      </c>
      <c r="P21" s="191">
        <f>N21*100/L21</f>
        <v>0</v>
      </c>
      <c r="Q21" s="191"/>
      <c r="R21" s="166" t="s">
        <v>25</v>
      </c>
      <c r="S21" s="150"/>
    </row>
    <row r="22" spans="1:19" ht="60.75" x14ac:dyDescent="0.2">
      <c r="A22" s="158">
        <v>9</v>
      </c>
      <c r="B22" s="159"/>
      <c r="C22" s="160"/>
      <c r="D22" s="160"/>
      <c r="E22" s="203" t="s">
        <v>266</v>
      </c>
      <c r="F22" s="199">
        <f>G22</f>
        <v>2426300</v>
      </c>
      <c r="G22" s="162">
        <f>3381000-954700</f>
        <v>2426300</v>
      </c>
      <c r="H22" s="200">
        <v>0</v>
      </c>
      <c r="I22" s="202" t="s">
        <v>368</v>
      </c>
      <c r="J22" s="202" t="s">
        <v>313</v>
      </c>
      <c r="K22" s="204" t="s">
        <v>314</v>
      </c>
      <c r="L22" s="200">
        <v>2129000</v>
      </c>
      <c r="M22" s="169">
        <f>G22-L22</f>
        <v>297300</v>
      </c>
      <c r="N22" s="191"/>
      <c r="O22" s="191">
        <f>L22-N22</f>
        <v>2129000</v>
      </c>
      <c r="P22" s="191">
        <f t="shared" ref="P22:P23" si="2">N22*100/L22</f>
        <v>0</v>
      </c>
      <c r="Q22" s="191"/>
      <c r="R22" s="157" t="s">
        <v>24</v>
      </c>
      <c r="S22" s="158"/>
    </row>
    <row r="23" spans="1:19" ht="60.75" x14ac:dyDescent="0.2">
      <c r="A23" s="158">
        <v>10</v>
      </c>
      <c r="B23" s="159"/>
      <c r="C23" s="160"/>
      <c r="D23" s="160"/>
      <c r="E23" s="203" t="s">
        <v>267</v>
      </c>
      <c r="F23" s="199">
        <f>G23</f>
        <v>2476500</v>
      </c>
      <c r="G23" s="162">
        <v>2476500</v>
      </c>
      <c r="H23" s="169">
        <v>0</v>
      </c>
      <c r="I23" s="202" t="s">
        <v>368</v>
      </c>
      <c r="J23" s="202" t="s">
        <v>315</v>
      </c>
      <c r="K23" s="202" t="s">
        <v>316</v>
      </c>
      <c r="L23" s="169">
        <v>2377000</v>
      </c>
      <c r="M23" s="169">
        <f>G23-L23</f>
        <v>99500</v>
      </c>
      <c r="N23" s="165"/>
      <c r="O23" s="191">
        <f>L23-N23</f>
        <v>2377000</v>
      </c>
      <c r="P23" s="191">
        <f t="shared" si="2"/>
        <v>0</v>
      </c>
      <c r="Q23" s="191"/>
      <c r="R23" s="157" t="s">
        <v>27</v>
      </c>
      <c r="S23" s="158"/>
    </row>
    <row r="24" spans="1:19" s="136" customFormat="1" ht="42.75" customHeight="1" x14ac:dyDescent="0.2">
      <c r="A24" s="158"/>
      <c r="B24" s="195"/>
      <c r="C24" s="196"/>
      <c r="D24" s="714" t="s">
        <v>147</v>
      </c>
      <c r="E24" s="715"/>
      <c r="F24" s="193"/>
      <c r="G24" s="193"/>
      <c r="H24" s="193"/>
      <c r="I24" s="193"/>
      <c r="J24" s="193"/>
      <c r="K24" s="193"/>
      <c r="L24" s="193"/>
      <c r="M24" s="193"/>
      <c r="N24" s="194">
        <f t="shared" ref="N24:O24" si="3">N25+N26+N27+N28+N29+N30+N31</f>
        <v>0</v>
      </c>
      <c r="O24" s="194">
        <f t="shared" si="3"/>
        <v>18571000</v>
      </c>
      <c r="P24" s="194" t="e">
        <f>N24*100/L24</f>
        <v>#DIV/0!</v>
      </c>
      <c r="Q24" s="194"/>
      <c r="R24" s="157"/>
      <c r="S24" s="150"/>
    </row>
    <row r="25" spans="1:19" ht="72.75" customHeight="1" x14ac:dyDescent="0.2">
      <c r="A25" s="158">
        <v>11</v>
      </c>
      <c r="B25" s="184"/>
      <c r="C25" s="185"/>
      <c r="D25" s="185"/>
      <c r="E25" s="186" t="s">
        <v>378</v>
      </c>
      <c r="F25" s="162">
        <f>G25</f>
        <v>2401000</v>
      </c>
      <c r="G25" s="162">
        <v>2401000</v>
      </c>
      <c r="H25" s="169">
        <v>0</v>
      </c>
      <c r="I25" s="202" t="s">
        <v>368</v>
      </c>
      <c r="J25" s="202" t="s">
        <v>324</v>
      </c>
      <c r="K25" s="204" t="s">
        <v>318</v>
      </c>
      <c r="L25" s="169">
        <v>2390000</v>
      </c>
      <c r="M25" s="169">
        <f>G25-L25</f>
        <v>11000</v>
      </c>
      <c r="N25" s="165"/>
      <c r="O25" s="165">
        <f>G25-N25</f>
        <v>2401000</v>
      </c>
      <c r="P25" s="165">
        <f>N25*100/L25</f>
        <v>0</v>
      </c>
      <c r="Q25" s="165"/>
      <c r="R25" s="205" t="s">
        <v>28</v>
      </c>
      <c r="S25" s="158"/>
    </row>
    <row r="26" spans="1:19" ht="60.75" x14ac:dyDescent="0.2">
      <c r="A26" s="158">
        <v>12</v>
      </c>
      <c r="B26" s="159"/>
      <c r="C26" s="160"/>
      <c r="D26" s="160"/>
      <c r="E26" s="203" t="s">
        <v>268</v>
      </c>
      <c r="F26" s="162">
        <f t="shared" ref="F26:F31" si="4">G26</f>
        <v>2303000</v>
      </c>
      <c r="G26" s="162">
        <v>2303000</v>
      </c>
      <c r="H26" s="200">
        <v>0</v>
      </c>
      <c r="I26" s="202" t="s">
        <v>368</v>
      </c>
      <c r="J26" s="202" t="s">
        <v>317</v>
      </c>
      <c r="K26" s="204" t="s">
        <v>318</v>
      </c>
      <c r="L26" s="200">
        <v>2303000</v>
      </c>
      <c r="M26" s="169">
        <f>G26-L26</f>
        <v>0</v>
      </c>
      <c r="N26" s="191"/>
      <c r="O26" s="165">
        <f t="shared" ref="O26:O31" si="5">G26-N26</f>
        <v>2303000</v>
      </c>
      <c r="P26" s="165">
        <f t="shared" ref="P26:P31" si="6">N26*100/L26</f>
        <v>0</v>
      </c>
      <c r="Q26" s="191"/>
      <c r="R26" s="206" t="s">
        <v>26</v>
      </c>
      <c r="S26" s="158"/>
    </row>
    <row r="27" spans="1:19" ht="64.5" customHeight="1" x14ac:dyDescent="0.2">
      <c r="A27" s="158">
        <v>13</v>
      </c>
      <c r="B27" s="159"/>
      <c r="C27" s="160"/>
      <c r="D27" s="160"/>
      <c r="E27" s="207" t="s">
        <v>379</v>
      </c>
      <c r="F27" s="162">
        <f t="shared" si="4"/>
        <v>2401000</v>
      </c>
      <c r="G27" s="162">
        <v>2401000</v>
      </c>
      <c r="H27" s="169">
        <v>0</v>
      </c>
      <c r="I27" s="202" t="s">
        <v>368</v>
      </c>
      <c r="J27" s="202" t="s">
        <v>324</v>
      </c>
      <c r="K27" s="204" t="s">
        <v>318</v>
      </c>
      <c r="L27" s="169">
        <v>2390000</v>
      </c>
      <c r="M27" s="169">
        <f t="shared" ref="M27:M31" si="7">G27-L27</f>
        <v>11000</v>
      </c>
      <c r="N27" s="165"/>
      <c r="O27" s="165">
        <f t="shared" si="5"/>
        <v>2401000</v>
      </c>
      <c r="P27" s="165">
        <f t="shared" si="6"/>
        <v>0</v>
      </c>
      <c r="Q27" s="165"/>
      <c r="R27" s="205" t="s">
        <v>28</v>
      </c>
      <c r="S27" s="158"/>
    </row>
    <row r="28" spans="1:19" ht="66.75" customHeight="1" x14ac:dyDescent="0.2">
      <c r="A28" s="158">
        <v>14</v>
      </c>
      <c r="B28" s="159"/>
      <c r="C28" s="160"/>
      <c r="D28" s="160"/>
      <c r="E28" s="207" t="s">
        <v>380</v>
      </c>
      <c r="F28" s="162">
        <f t="shared" si="4"/>
        <v>2401000</v>
      </c>
      <c r="G28" s="162">
        <v>2401000</v>
      </c>
      <c r="H28" s="169">
        <v>0</v>
      </c>
      <c r="I28" s="202" t="s">
        <v>368</v>
      </c>
      <c r="J28" s="202" t="s">
        <v>324</v>
      </c>
      <c r="K28" s="202" t="s">
        <v>318</v>
      </c>
      <c r="L28" s="169">
        <v>2390000</v>
      </c>
      <c r="M28" s="169">
        <f t="shared" si="7"/>
        <v>11000</v>
      </c>
      <c r="N28" s="165"/>
      <c r="O28" s="165">
        <f t="shared" si="5"/>
        <v>2401000</v>
      </c>
      <c r="P28" s="165">
        <f t="shared" si="6"/>
        <v>0</v>
      </c>
      <c r="Q28" s="165"/>
      <c r="R28" s="205" t="s">
        <v>28</v>
      </c>
      <c r="S28" s="158"/>
    </row>
    <row r="29" spans="1:19" ht="63.75" customHeight="1" x14ac:dyDescent="0.2">
      <c r="A29" s="158">
        <v>15</v>
      </c>
      <c r="B29" s="159"/>
      <c r="C29" s="160"/>
      <c r="D29" s="160"/>
      <c r="E29" s="203" t="s">
        <v>269</v>
      </c>
      <c r="F29" s="162">
        <f t="shared" si="4"/>
        <v>3724000</v>
      </c>
      <c r="G29" s="162">
        <v>3724000</v>
      </c>
      <c r="H29" s="200">
        <v>0</v>
      </c>
      <c r="I29" s="202" t="s">
        <v>368</v>
      </c>
      <c r="J29" s="202" t="s">
        <v>319</v>
      </c>
      <c r="K29" s="204" t="s">
        <v>318</v>
      </c>
      <c r="L29" s="200">
        <v>2790000</v>
      </c>
      <c r="M29" s="169">
        <f t="shared" si="7"/>
        <v>934000</v>
      </c>
      <c r="N29" s="191"/>
      <c r="O29" s="165">
        <f t="shared" si="5"/>
        <v>3724000</v>
      </c>
      <c r="P29" s="165">
        <f t="shared" si="6"/>
        <v>0</v>
      </c>
      <c r="Q29" s="191"/>
      <c r="R29" s="206" t="s">
        <v>25</v>
      </c>
      <c r="S29" s="158"/>
    </row>
    <row r="30" spans="1:19" ht="63.75" customHeight="1" x14ac:dyDescent="0.2">
      <c r="A30" s="158">
        <v>16</v>
      </c>
      <c r="B30" s="159"/>
      <c r="C30" s="160"/>
      <c r="D30" s="160"/>
      <c r="E30" s="207" t="s">
        <v>381</v>
      </c>
      <c r="F30" s="162">
        <f t="shared" si="4"/>
        <v>2401000</v>
      </c>
      <c r="G30" s="162">
        <v>2401000</v>
      </c>
      <c r="H30" s="169">
        <v>0</v>
      </c>
      <c r="I30" s="202" t="s">
        <v>368</v>
      </c>
      <c r="J30" s="202" t="s">
        <v>324</v>
      </c>
      <c r="K30" s="202" t="s">
        <v>318</v>
      </c>
      <c r="L30" s="169">
        <v>2390000</v>
      </c>
      <c r="M30" s="169">
        <f t="shared" si="7"/>
        <v>11000</v>
      </c>
      <c r="N30" s="165"/>
      <c r="O30" s="165">
        <f t="shared" si="5"/>
        <v>2401000</v>
      </c>
      <c r="P30" s="165">
        <f t="shared" si="6"/>
        <v>0</v>
      </c>
      <c r="Q30" s="165"/>
      <c r="R30" s="205" t="s">
        <v>28</v>
      </c>
      <c r="S30" s="158"/>
    </row>
    <row r="31" spans="1:19" ht="112.5" customHeight="1" x14ac:dyDescent="0.2">
      <c r="A31" s="158">
        <v>17</v>
      </c>
      <c r="B31" s="159"/>
      <c r="C31" s="160"/>
      <c r="D31" s="160"/>
      <c r="E31" s="207" t="s">
        <v>192</v>
      </c>
      <c r="F31" s="162">
        <f t="shared" si="4"/>
        <v>2940000</v>
      </c>
      <c r="G31" s="199">
        <v>2940000</v>
      </c>
      <c r="H31" s="200">
        <v>0</v>
      </c>
      <c r="I31" s="202" t="s">
        <v>368</v>
      </c>
      <c r="J31" s="202" t="s">
        <v>320</v>
      </c>
      <c r="K31" s="204" t="s">
        <v>321</v>
      </c>
      <c r="L31" s="200">
        <v>2835000</v>
      </c>
      <c r="M31" s="169">
        <f t="shared" si="7"/>
        <v>105000</v>
      </c>
      <c r="N31" s="191"/>
      <c r="O31" s="165">
        <f t="shared" si="5"/>
        <v>2940000</v>
      </c>
      <c r="P31" s="165">
        <f t="shared" si="6"/>
        <v>0</v>
      </c>
      <c r="Q31" s="165"/>
      <c r="R31" s="205" t="s">
        <v>27</v>
      </c>
      <c r="S31" s="158"/>
    </row>
    <row r="32" spans="1:19" s="136" customFormat="1" ht="24" customHeight="1" x14ac:dyDescent="0.2">
      <c r="A32" s="158"/>
      <c r="B32" s="195"/>
      <c r="C32" s="196"/>
      <c r="D32" s="714" t="s">
        <v>148</v>
      </c>
      <c r="E32" s="715"/>
      <c r="F32" s="193"/>
      <c r="G32" s="193"/>
      <c r="H32" s="193"/>
      <c r="I32" s="193"/>
      <c r="J32" s="193"/>
      <c r="K32" s="193"/>
      <c r="L32" s="193"/>
      <c r="M32" s="193"/>
      <c r="N32" s="194">
        <f t="shared" ref="N32" si="8">N33+N34+N35+N36</f>
        <v>0</v>
      </c>
      <c r="O32" s="194">
        <f>O33+O34+O35+O36+O37</f>
        <v>8235000</v>
      </c>
      <c r="P32" s="194" t="e">
        <f>N32*100/L32</f>
        <v>#DIV/0!</v>
      </c>
      <c r="Q32" s="194"/>
      <c r="R32" s="157"/>
      <c r="S32" s="150"/>
    </row>
    <row r="33" spans="1:19" ht="50.25" customHeight="1" x14ac:dyDescent="0.2">
      <c r="A33" s="158">
        <v>18</v>
      </c>
      <c r="B33" s="159"/>
      <c r="C33" s="160"/>
      <c r="D33" s="160"/>
      <c r="E33" s="161" t="s">
        <v>193</v>
      </c>
      <c r="F33" s="162">
        <f>G33</f>
        <v>852600</v>
      </c>
      <c r="G33" s="162">
        <v>852600</v>
      </c>
      <c r="H33" s="169">
        <v>0</v>
      </c>
      <c r="I33" s="202" t="s">
        <v>368</v>
      </c>
      <c r="J33" s="202" t="s">
        <v>322</v>
      </c>
      <c r="K33" s="202" t="s">
        <v>323</v>
      </c>
      <c r="L33" s="169">
        <v>850800</v>
      </c>
      <c r="M33" s="169">
        <f>G33-L33</f>
        <v>1800</v>
      </c>
      <c r="N33" s="165"/>
      <c r="O33" s="165">
        <f>G33-N33</f>
        <v>852600</v>
      </c>
      <c r="P33" s="165">
        <f>N33*100/L33</f>
        <v>0</v>
      </c>
      <c r="Q33" s="165"/>
      <c r="R33" s="157" t="s">
        <v>24</v>
      </c>
      <c r="S33" s="158"/>
    </row>
    <row r="34" spans="1:19" ht="44.25" customHeight="1" x14ac:dyDescent="0.2">
      <c r="A34" s="158">
        <v>19</v>
      </c>
      <c r="B34" s="159"/>
      <c r="C34" s="160"/>
      <c r="D34" s="160"/>
      <c r="E34" s="203" t="s">
        <v>194</v>
      </c>
      <c r="F34" s="162">
        <f>G34</f>
        <v>3780400</v>
      </c>
      <c r="G34" s="162">
        <v>3780400</v>
      </c>
      <c r="H34" s="169">
        <v>0</v>
      </c>
      <c r="I34" s="202" t="s">
        <v>368</v>
      </c>
      <c r="J34" s="202" t="s">
        <v>325</v>
      </c>
      <c r="K34" s="202" t="s">
        <v>326</v>
      </c>
      <c r="L34" s="169">
        <v>1885000</v>
      </c>
      <c r="M34" s="169">
        <f>G34-L34</f>
        <v>1895400</v>
      </c>
      <c r="N34" s="165"/>
      <c r="O34" s="165">
        <f t="shared" ref="O34:O37" si="9">G34-N34</f>
        <v>3780400</v>
      </c>
      <c r="P34" s="165">
        <f t="shared" ref="P34:P36" si="10">N34*100/L34</f>
        <v>0</v>
      </c>
      <c r="Q34" s="165"/>
      <c r="R34" s="157" t="s">
        <v>24</v>
      </c>
      <c r="S34" s="158"/>
    </row>
    <row r="35" spans="1:19" ht="60.75" x14ac:dyDescent="0.2">
      <c r="A35" s="158">
        <v>20</v>
      </c>
      <c r="B35" s="170"/>
      <c r="C35" s="171"/>
      <c r="D35" s="171"/>
      <c r="E35" s="208" t="s">
        <v>195</v>
      </c>
      <c r="F35" s="162">
        <f>G35</f>
        <v>1654200</v>
      </c>
      <c r="G35" s="162">
        <v>1654200</v>
      </c>
      <c r="H35" s="200">
        <v>0</v>
      </c>
      <c r="I35" s="202" t="s">
        <v>368</v>
      </c>
      <c r="J35" s="202" t="s">
        <v>347</v>
      </c>
      <c r="K35" s="202" t="s">
        <v>323</v>
      </c>
      <c r="L35" s="200">
        <v>1450000</v>
      </c>
      <c r="M35" s="200">
        <f>G35-L35</f>
        <v>204200</v>
      </c>
      <c r="N35" s="191"/>
      <c r="O35" s="165">
        <f t="shared" si="9"/>
        <v>1654200</v>
      </c>
      <c r="P35" s="165">
        <f t="shared" si="10"/>
        <v>0</v>
      </c>
      <c r="Q35" s="191"/>
      <c r="R35" s="209" t="s">
        <v>28</v>
      </c>
      <c r="S35" s="158"/>
    </row>
    <row r="36" spans="1:19" ht="60.75" x14ac:dyDescent="0.2">
      <c r="A36" s="158">
        <v>21</v>
      </c>
      <c r="B36" s="159"/>
      <c r="C36" s="160"/>
      <c r="D36" s="160"/>
      <c r="E36" s="203" t="s">
        <v>196</v>
      </c>
      <c r="F36" s="162">
        <f>G36</f>
        <v>1211300</v>
      </c>
      <c r="G36" s="162">
        <v>1211300</v>
      </c>
      <c r="H36" s="200">
        <v>0</v>
      </c>
      <c r="I36" s="202" t="s">
        <v>368</v>
      </c>
      <c r="J36" s="202" t="s">
        <v>347</v>
      </c>
      <c r="K36" s="202" t="s">
        <v>323</v>
      </c>
      <c r="L36" s="200">
        <v>1210300</v>
      </c>
      <c r="M36" s="200">
        <f>G36-L36</f>
        <v>1000</v>
      </c>
      <c r="N36" s="191"/>
      <c r="O36" s="165">
        <f t="shared" si="9"/>
        <v>1211300</v>
      </c>
      <c r="P36" s="165">
        <f t="shared" si="10"/>
        <v>0</v>
      </c>
      <c r="Q36" s="165"/>
      <c r="R36" s="157" t="s">
        <v>28</v>
      </c>
      <c r="S36" s="158"/>
    </row>
    <row r="37" spans="1:19" ht="40.5" x14ac:dyDescent="0.2">
      <c r="A37" s="158">
        <v>22</v>
      </c>
      <c r="B37" s="159"/>
      <c r="C37" s="160"/>
      <c r="D37" s="160"/>
      <c r="E37" s="203" t="s">
        <v>197</v>
      </c>
      <c r="F37" s="162">
        <f>G37</f>
        <v>736500</v>
      </c>
      <c r="G37" s="210">
        <v>736500</v>
      </c>
      <c r="H37" s="211">
        <v>0</v>
      </c>
      <c r="I37" s="211"/>
      <c r="J37" s="212"/>
      <c r="K37" s="212"/>
      <c r="L37" s="212"/>
      <c r="M37" s="212"/>
      <c r="N37" s="213"/>
      <c r="O37" s="164">
        <f t="shared" si="9"/>
        <v>736500</v>
      </c>
      <c r="P37" s="165">
        <v>0</v>
      </c>
      <c r="Q37" s="165"/>
      <c r="R37" s="157" t="s">
        <v>27</v>
      </c>
      <c r="S37" s="158"/>
    </row>
    <row r="38" spans="1:19" s="136" customFormat="1" x14ac:dyDescent="0.2">
      <c r="A38" s="158"/>
      <c r="B38" s="195"/>
      <c r="C38" s="714" t="s">
        <v>149</v>
      </c>
      <c r="D38" s="714"/>
      <c r="E38" s="715"/>
      <c r="F38" s="155"/>
      <c r="G38" s="155"/>
      <c r="H38" s="155"/>
      <c r="I38" s="155"/>
      <c r="J38" s="155"/>
      <c r="K38" s="155"/>
      <c r="L38" s="155"/>
      <c r="M38" s="155"/>
      <c r="N38" s="156">
        <f t="shared" ref="N38:O38" si="11">N39</f>
        <v>0</v>
      </c>
      <c r="O38" s="156">
        <f t="shared" si="11"/>
        <v>51430000</v>
      </c>
      <c r="P38" s="156">
        <v>0</v>
      </c>
      <c r="Q38" s="156"/>
      <c r="R38" s="157"/>
      <c r="S38" s="150"/>
    </row>
    <row r="39" spans="1:19" s="136" customFormat="1" x14ac:dyDescent="0.2">
      <c r="A39" s="158"/>
      <c r="B39" s="195"/>
      <c r="C39" s="196"/>
      <c r="D39" s="214" t="s">
        <v>150</v>
      </c>
      <c r="E39" s="215"/>
      <c r="F39" s="193"/>
      <c r="G39" s="193"/>
      <c r="H39" s="193"/>
      <c r="I39" s="193"/>
      <c r="J39" s="193"/>
      <c r="K39" s="193"/>
      <c r="L39" s="193"/>
      <c r="M39" s="193"/>
      <c r="N39" s="194">
        <f t="shared" ref="N39:O39" si="12">N40+N41+N42+N43+N44</f>
        <v>0</v>
      </c>
      <c r="O39" s="194">
        <f t="shared" si="12"/>
        <v>51430000</v>
      </c>
      <c r="P39" s="194">
        <v>0</v>
      </c>
      <c r="Q39" s="194"/>
      <c r="R39" s="157"/>
      <c r="S39" s="150"/>
    </row>
    <row r="40" spans="1:19" ht="81" x14ac:dyDescent="0.2">
      <c r="A40" s="158">
        <v>23</v>
      </c>
      <c r="B40" s="184"/>
      <c r="C40" s="185"/>
      <c r="D40" s="185"/>
      <c r="E40" s="186" t="s">
        <v>198</v>
      </c>
      <c r="F40" s="199">
        <f>G40</f>
        <v>9900000</v>
      </c>
      <c r="G40" s="199">
        <v>9900000</v>
      </c>
      <c r="H40" s="169">
        <v>0</v>
      </c>
      <c r="I40" s="204" t="s">
        <v>371</v>
      </c>
      <c r="J40" s="200"/>
      <c r="K40" s="200"/>
      <c r="L40" s="200"/>
      <c r="M40" s="200"/>
      <c r="N40" s="191"/>
      <c r="O40" s="191">
        <f>G40-N40</f>
        <v>9900000</v>
      </c>
      <c r="P40" s="191">
        <v>0</v>
      </c>
      <c r="Q40" s="191"/>
      <c r="R40" s="216" t="s">
        <v>29</v>
      </c>
      <c r="S40" s="158"/>
    </row>
    <row r="41" spans="1:19" ht="60.75" x14ac:dyDescent="0.2">
      <c r="A41" s="158">
        <v>24</v>
      </c>
      <c r="B41" s="159"/>
      <c r="C41" s="160"/>
      <c r="D41" s="160"/>
      <c r="E41" s="161" t="s">
        <v>199</v>
      </c>
      <c r="F41" s="199">
        <f>G41</f>
        <v>11880000</v>
      </c>
      <c r="G41" s="162">
        <v>11880000</v>
      </c>
      <c r="H41" s="169">
        <v>0</v>
      </c>
      <c r="I41" s="204" t="s">
        <v>329</v>
      </c>
      <c r="J41" s="169"/>
      <c r="K41" s="169"/>
      <c r="L41" s="169"/>
      <c r="M41" s="169"/>
      <c r="N41" s="165"/>
      <c r="O41" s="191">
        <f t="shared" ref="O41:O44" si="13">G41-N41</f>
        <v>11880000</v>
      </c>
      <c r="P41" s="191">
        <v>0</v>
      </c>
      <c r="Q41" s="191"/>
      <c r="R41" s="166" t="s">
        <v>29</v>
      </c>
      <c r="S41" s="158"/>
    </row>
    <row r="42" spans="1:19" ht="60.75" x14ac:dyDescent="0.2">
      <c r="A42" s="158">
        <v>25</v>
      </c>
      <c r="B42" s="159"/>
      <c r="C42" s="160"/>
      <c r="D42" s="160"/>
      <c r="E42" s="161" t="s">
        <v>200</v>
      </c>
      <c r="F42" s="199">
        <f>G42</f>
        <v>9900000</v>
      </c>
      <c r="G42" s="162">
        <v>9900000</v>
      </c>
      <c r="H42" s="169">
        <v>0</v>
      </c>
      <c r="I42" s="204" t="s">
        <v>329</v>
      </c>
      <c r="J42" s="200"/>
      <c r="K42" s="200"/>
      <c r="L42" s="200"/>
      <c r="M42" s="200"/>
      <c r="N42" s="191"/>
      <c r="O42" s="191">
        <f t="shared" si="13"/>
        <v>9900000</v>
      </c>
      <c r="P42" s="191">
        <v>0</v>
      </c>
      <c r="Q42" s="191"/>
      <c r="R42" s="216" t="s">
        <v>29</v>
      </c>
      <c r="S42" s="158"/>
    </row>
    <row r="43" spans="1:19" ht="60.75" x14ac:dyDescent="0.2">
      <c r="A43" s="158">
        <v>26</v>
      </c>
      <c r="B43" s="159"/>
      <c r="C43" s="160"/>
      <c r="D43" s="160"/>
      <c r="E43" s="161" t="s">
        <v>151</v>
      </c>
      <c r="F43" s="199">
        <f>G43</f>
        <v>4900000</v>
      </c>
      <c r="G43" s="162">
        <v>4900000</v>
      </c>
      <c r="H43" s="169">
        <v>0</v>
      </c>
      <c r="I43" s="204" t="s">
        <v>372</v>
      </c>
      <c r="J43" s="169"/>
      <c r="K43" s="202" t="s">
        <v>373</v>
      </c>
      <c r="L43" s="169"/>
      <c r="M43" s="169"/>
      <c r="N43" s="165"/>
      <c r="O43" s="191">
        <f t="shared" si="13"/>
        <v>4900000</v>
      </c>
      <c r="P43" s="191">
        <v>0</v>
      </c>
      <c r="Q43" s="191"/>
      <c r="R43" s="166" t="s">
        <v>29</v>
      </c>
      <c r="S43" s="158"/>
    </row>
    <row r="44" spans="1:19" ht="60.75" x14ac:dyDescent="0.2">
      <c r="A44" s="158">
        <v>27</v>
      </c>
      <c r="B44" s="159"/>
      <c r="C44" s="160"/>
      <c r="D44" s="160"/>
      <c r="E44" s="161" t="s">
        <v>201</v>
      </c>
      <c r="F44" s="199">
        <f>G44</f>
        <v>14850000</v>
      </c>
      <c r="G44" s="162">
        <v>14850000</v>
      </c>
      <c r="H44" s="169">
        <v>0</v>
      </c>
      <c r="I44" s="204" t="s">
        <v>329</v>
      </c>
      <c r="J44" s="169"/>
      <c r="K44" s="169"/>
      <c r="L44" s="169"/>
      <c r="M44" s="169"/>
      <c r="N44" s="165"/>
      <c r="O44" s="191">
        <f t="shared" si="13"/>
        <v>14850000</v>
      </c>
      <c r="P44" s="191">
        <v>0</v>
      </c>
      <c r="Q44" s="191"/>
      <c r="R44" s="166" t="s">
        <v>29</v>
      </c>
      <c r="S44" s="158"/>
    </row>
    <row r="45" spans="1:19" s="136" customFormat="1" ht="30" customHeight="1" x14ac:dyDescent="0.2">
      <c r="A45" s="158"/>
      <c r="B45" s="154"/>
      <c r="C45" s="722" t="s">
        <v>152</v>
      </c>
      <c r="D45" s="722"/>
      <c r="E45" s="723"/>
      <c r="F45" s="155"/>
      <c r="G45" s="155"/>
      <c r="H45" s="155"/>
      <c r="I45" s="155"/>
      <c r="J45" s="155"/>
      <c r="K45" s="155"/>
      <c r="L45" s="155"/>
      <c r="M45" s="155"/>
      <c r="N45" s="156" t="e">
        <f>#REF!+N46+N49</f>
        <v>#REF!</v>
      </c>
      <c r="O45" s="156" t="e">
        <f>#REF!+O46+O49</f>
        <v>#REF!</v>
      </c>
      <c r="P45" s="156" t="e">
        <f>N45*100/F45</f>
        <v>#REF!</v>
      </c>
      <c r="Q45" s="156"/>
      <c r="R45" s="157"/>
      <c r="S45" s="150"/>
    </row>
    <row r="46" spans="1:19" s="136" customFormat="1" ht="44.25" customHeight="1" x14ac:dyDescent="0.2">
      <c r="A46" s="158"/>
      <c r="B46" s="197"/>
      <c r="C46" s="198"/>
      <c r="D46" s="725" t="s">
        <v>154</v>
      </c>
      <c r="E46" s="726"/>
      <c r="F46" s="193"/>
      <c r="G46" s="193"/>
      <c r="H46" s="193"/>
      <c r="I46" s="193"/>
      <c r="J46" s="193"/>
      <c r="K46" s="193"/>
      <c r="L46" s="193"/>
      <c r="M46" s="193"/>
      <c r="N46" s="194" t="e">
        <f>N47+#REF!</f>
        <v>#REF!</v>
      </c>
      <c r="O46" s="194" t="e">
        <f>O47+#REF!</f>
        <v>#REF!</v>
      </c>
      <c r="P46" s="194" t="e">
        <f>N46*100/F46</f>
        <v>#REF!</v>
      </c>
      <c r="Q46" s="194"/>
      <c r="R46" s="157"/>
      <c r="S46" s="150"/>
    </row>
    <row r="47" spans="1:19" s="136" customFormat="1" ht="42" customHeight="1" x14ac:dyDescent="0.2">
      <c r="A47" s="158"/>
      <c r="B47" s="195"/>
      <c r="C47" s="196"/>
      <c r="D47" s="201"/>
      <c r="E47" s="161" t="s">
        <v>156</v>
      </c>
      <c r="F47" s="162"/>
      <c r="G47" s="162"/>
      <c r="H47" s="169"/>
      <c r="I47" s="169"/>
      <c r="J47" s="169"/>
      <c r="K47" s="169"/>
      <c r="L47" s="169"/>
      <c r="M47" s="169"/>
      <c r="N47" s="165" t="e">
        <f>#REF!+N48</f>
        <v>#REF!</v>
      </c>
      <c r="O47" s="165" t="e">
        <f>#REF!+O48</f>
        <v>#REF!</v>
      </c>
      <c r="P47" s="164" t="e">
        <f>N47*100/F47</f>
        <v>#REF!</v>
      </c>
      <c r="Q47" s="164"/>
      <c r="R47" s="217"/>
      <c r="S47" s="150"/>
    </row>
    <row r="48" spans="1:19" s="136" customFormat="1" ht="81" x14ac:dyDescent="0.2">
      <c r="A48" s="158">
        <v>28</v>
      </c>
      <c r="B48" s="184"/>
      <c r="C48" s="185"/>
      <c r="D48" s="185"/>
      <c r="E48" s="218" t="s">
        <v>30</v>
      </c>
      <c r="F48" s="219">
        <f>G48</f>
        <v>3528000</v>
      </c>
      <c r="G48" s="188">
        <v>3528000</v>
      </c>
      <c r="H48" s="189">
        <v>0</v>
      </c>
      <c r="I48" s="190" t="s">
        <v>349</v>
      </c>
      <c r="J48" s="189"/>
      <c r="K48" s="189"/>
      <c r="L48" s="189"/>
      <c r="M48" s="189"/>
      <c r="N48" s="191"/>
      <c r="O48" s="191">
        <f>G48-N48</f>
        <v>3528000</v>
      </c>
      <c r="P48" s="191">
        <v>0</v>
      </c>
      <c r="Q48" s="191"/>
      <c r="R48" s="220" t="s">
        <v>295</v>
      </c>
      <c r="S48" s="150"/>
    </row>
    <row r="49" spans="1:19" s="136" customFormat="1" ht="26.25" customHeight="1" x14ac:dyDescent="0.2">
      <c r="A49" s="158"/>
      <c r="B49" s="195"/>
      <c r="C49" s="196"/>
      <c r="D49" s="714" t="s">
        <v>158</v>
      </c>
      <c r="E49" s="715"/>
      <c r="F49" s="221"/>
      <c r="G49" s="221"/>
      <c r="H49" s="221"/>
      <c r="I49" s="221"/>
      <c r="J49" s="221"/>
      <c r="K49" s="221"/>
      <c r="L49" s="221"/>
      <c r="M49" s="221"/>
      <c r="N49" s="222">
        <f t="shared" ref="N49:O49" si="14">N50</f>
        <v>0</v>
      </c>
      <c r="O49" s="222">
        <f t="shared" si="14"/>
        <v>2178000</v>
      </c>
      <c r="P49" s="222">
        <v>0</v>
      </c>
      <c r="Q49" s="222"/>
      <c r="R49" s="157"/>
      <c r="S49" s="150"/>
    </row>
    <row r="50" spans="1:19" s="136" customFormat="1" ht="60.75" x14ac:dyDescent="0.2">
      <c r="A50" s="158">
        <v>29</v>
      </c>
      <c r="B50" s="195"/>
      <c r="C50" s="196"/>
      <c r="D50" s="196"/>
      <c r="E50" s="161" t="s">
        <v>270</v>
      </c>
      <c r="F50" s="162">
        <f>G50</f>
        <v>2178000</v>
      </c>
      <c r="G50" s="162">
        <v>2178000</v>
      </c>
      <c r="H50" s="169">
        <v>0</v>
      </c>
      <c r="I50" s="204" t="s">
        <v>374</v>
      </c>
      <c r="J50" s="169"/>
      <c r="K50" s="169"/>
      <c r="L50" s="169"/>
      <c r="M50" s="169"/>
      <c r="N50" s="165"/>
      <c r="O50" s="165">
        <f>G50-N50</f>
        <v>2178000</v>
      </c>
      <c r="P50" s="165">
        <v>0</v>
      </c>
      <c r="Q50" s="165"/>
      <c r="R50" s="166" t="s">
        <v>31</v>
      </c>
      <c r="S50" s="150"/>
    </row>
    <row r="51" spans="1:19" s="136" customFormat="1" ht="24.75" customHeight="1" x14ac:dyDescent="0.2">
      <c r="A51" s="158"/>
      <c r="B51" s="724" t="s">
        <v>32</v>
      </c>
      <c r="C51" s="724"/>
      <c r="D51" s="724"/>
      <c r="E51" s="724"/>
      <c r="F51" s="155"/>
      <c r="G51" s="155"/>
      <c r="H51" s="155"/>
      <c r="I51" s="155"/>
      <c r="J51" s="155"/>
      <c r="K51" s="155"/>
      <c r="L51" s="155"/>
      <c r="M51" s="155"/>
      <c r="N51" s="156" t="e">
        <f>#REF!+#REF!+N52+N56+#REF!</f>
        <v>#REF!</v>
      </c>
      <c r="O51" s="156" t="e">
        <f>#REF!+#REF!+O52+O56+#REF!</f>
        <v>#REF!</v>
      </c>
      <c r="P51" s="156" t="e">
        <f>N51*100/F51</f>
        <v>#REF!</v>
      </c>
      <c r="Q51" s="156"/>
      <c r="R51" s="209"/>
      <c r="S51" s="150"/>
    </row>
    <row r="52" spans="1:19" s="136" customFormat="1" ht="45.75" customHeight="1" x14ac:dyDescent="0.2">
      <c r="A52" s="158"/>
      <c r="B52" s="154"/>
      <c r="C52" s="722" t="s">
        <v>43</v>
      </c>
      <c r="D52" s="722"/>
      <c r="E52" s="723"/>
      <c r="F52" s="155"/>
      <c r="G52" s="155"/>
      <c r="H52" s="155"/>
      <c r="I52" s="155"/>
      <c r="J52" s="155"/>
      <c r="K52" s="155"/>
      <c r="L52" s="155"/>
      <c r="M52" s="155"/>
      <c r="N52" s="156" t="e">
        <f t="shared" ref="N52:O52" si="15">N53</f>
        <v>#REF!</v>
      </c>
      <c r="O52" s="156" t="e">
        <f t="shared" si="15"/>
        <v>#REF!</v>
      </c>
      <c r="P52" s="156" t="e">
        <f>N52*100/F52</f>
        <v>#REF!</v>
      </c>
      <c r="Q52" s="156"/>
      <c r="R52" s="209"/>
      <c r="S52" s="150"/>
    </row>
    <row r="53" spans="1:19" s="136" customFormat="1" ht="45.75" customHeight="1" x14ac:dyDescent="0.2">
      <c r="A53" s="158"/>
      <c r="B53" s="195"/>
      <c r="C53" s="196"/>
      <c r="D53" s="714" t="s">
        <v>44</v>
      </c>
      <c r="E53" s="715"/>
      <c r="F53" s="193"/>
      <c r="G53" s="193"/>
      <c r="H53" s="193"/>
      <c r="I53" s="193"/>
      <c r="J53" s="193"/>
      <c r="K53" s="193"/>
      <c r="L53" s="193"/>
      <c r="M53" s="193"/>
      <c r="N53" s="194" t="e">
        <f>N54+#REF!</f>
        <v>#REF!</v>
      </c>
      <c r="O53" s="194" t="e">
        <f>O54+#REF!</f>
        <v>#REF!</v>
      </c>
      <c r="P53" s="194" t="e">
        <f>N53*100/F53</f>
        <v>#REF!</v>
      </c>
      <c r="Q53" s="194"/>
      <c r="R53" s="157"/>
      <c r="S53" s="150"/>
    </row>
    <row r="54" spans="1:19" s="136" customFormat="1" ht="43.5" customHeight="1" x14ac:dyDescent="0.2">
      <c r="A54" s="158"/>
      <c r="B54" s="195"/>
      <c r="C54" s="196"/>
      <c r="D54" s="196"/>
      <c r="E54" s="161" t="s">
        <v>159</v>
      </c>
      <c r="F54" s="162"/>
      <c r="G54" s="162"/>
      <c r="H54" s="169"/>
      <c r="I54" s="169"/>
      <c r="J54" s="169"/>
      <c r="K54" s="169"/>
      <c r="L54" s="169"/>
      <c r="M54" s="169"/>
      <c r="N54" s="165" t="e">
        <f>#REF!+N55</f>
        <v>#REF!</v>
      </c>
      <c r="O54" s="165" t="e">
        <f>#REF!+O55</f>
        <v>#REF!</v>
      </c>
      <c r="P54" s="165" t="e">
        <f>N54*100/F54</f>
        <v>#REF!</v>
      </c>
      <c r="Q54" s="165"/>
      <c r="R54" s="166"/>
      <c r="S54" s="150"/>
    </row>
    <row r="55" spans="1:19" s="136" customFormat="1" ht="60.75" x14ac:dyDescent="0.2">
      <c r="A55" s="158">
        <v>30</v>
      </c>
      <c r="B55" s="154"/>
      <c r="C55" s="223"/>
      <c r="D55" s="223"/>
      <c r="E55" s="186" t="s">
        <v>45</v>
      </c>
      <c r="F55" s="199">
        <f>G55</f>
        <v>495000</v>
      </c>
      <c r="G55" s="199">
        <v>495000</v>
      </c>
      <c r="H55" s="200">
        <v>0</v>
      </c>
      <c r="I55" s="163" t="s">
        <v>368</v>
      </c>
      <c r="J55" s="202" t="s">
        <v>327</v>
      </c>
      <c r="K55" s="202" t="s">
        <v>328</v>
      </c>
      <c r="L55" s="169">
        <v>495000</v>
      </c>
      <c r="M55" s="200"/>
      <c r="N55" s="191"/>
      <c r="O55" s="191">
        <f>G55-N55</f>
        <v>495000</v>
      </c>
      <c r="P55" s="191">
        <f>N55*100/L55</f>
        <v>0</v>
      </c>
      <c r="Q55" s="191"/>
      <c r="R55" s="166" t="s">
        <v>39</v>
      </c>
      <c r="S55" s="150"/>
    </row>
    <row r="56" spans="1:19" s="136" customFormat="1" ht="23.25" customHeight="1" x14ac:dyDescent="0.2">
      <c r="A56" s="158"/>
      <c r="B56" s="224"/>
      <c r="C56" s="722" t="s">
        <v>46</v>
      </c>
      <c r="D56" s="722"/>
      <c r="E56" s="723"/>
      <c r="F56" s="155"/>
      <c r="G56" s="155"/>
      <c r="H56" s="155"/>
      <c r="I56" s="155"/>
      <c r="J56" s="155"/>
      <c r="K56" s="155"/>
      <c r="L56" s="155"/>
      <c r="M56" s="155"/>
      <c r="N56" s="156" t="e">
        <f t="shared" ref="N56:O56" si="16">N57</f>
        <v>#REF!</v>
      </c>
      <c r="O56" s="156" t="e">
        <f t="shared" si="16"/>
        <v>#REF!</v>
      </c>
      <c r="P56" s="156" t="e">
        <f>N56*100/F56</f>
        <v>#REF!</v>
      </c>
      <c r="Q56" s="156"/>
      <c r="R56" s="157"/>
      <c r="S56" s="150"/>
    </row>
    <row r="57" spans="1:19" s="136" customFormat="1" ht="25.5" customHeight="1" x14ac:dyDescent="0.2">
      <c r="A57" s="158"/>
      <c r="B57" s="195"/>
      <c r="C57" s="196"/>
      <c r="D57" s="714" t="s">
        <v>47</v>
      </c>
      <c r="E57" s="715"/>
      <c r="F57" s="193"/>
      <c r="G57" s="193"/>
      <c r="H57" s="193"/>
      <c r="I57" s="193"/>
      <c r="J57" s="193"/>
      <c r="K57" s="193"/>
      <c r="L57" s="193"/>
      <c r="M57" s="193"/>
      <c r="N57" s="194" t="e">
        <f>N58+#REF!+#REF!</f>
        <v>#REF!</v>
      </c>
      <c r="O57" s="194" t="e">
        <f>O58+#REF!+#REF!</f>
        <v>#REF!</v>
      </c>
      <c r="P57" s="194" t="e">
        <f>N57*100/F57</f>
        <v>#REF!</v>
      </c>
      <c r="Q57" s="194"/>
      <c r="R57" s="157"/>
      <c r="S57" s="150"/>
    </row>
    <row r="58" spans="1:19" s="136" customFormat="1" ht="42" customHeight="1" x14ac:dyDescent="0.2">
      <c r="A58" s="158"/>
      <c r="B58" s="197"/>
      <c r="C58" s="198"/>
      <c r="D58" s="198"/>
      <c r="E58" s="225" t="s">
        <v>48</v>
      </c>
      <c r="F58" s="226"/>
      <c r="G58" s="226"/>
      <c r="H58" s="226"/>
      <c r="I58" s="162"/>
      <c r="J58" s="226"/>
      <c r="K58" s="226"/>
      <c r="L58" s="226"/>
      <c r="M58" s="226"/>
      <c r="N58" s="227" t="e">
        <f>#REF!+N59</f>
        <v>#REF!</v>
      </c>
      <c r="O58" s="227" t="e">
        <f>#REF!+O59</f>
        <v>#REF!</v>
      </c>
      <c r="P58" s="228" t="e">
        <f>N58*100/F58</f>
        <v>#REF!</v>
      </c>
      <c r="Q58" s="228"/>
      <c r="R58" s="220"/>
      <c r="S58" s="150"/>
    </row>
    <row r="59" spans="1:19" s="136" customFormat="1" ht="70.5" customHeight="1" x14ac:dyDescent="0.2">
      <c r="A59" s="158">
        <v>31</v>
      </c>
      <c r="B59" s="197"/>
      <c r="C59" s="198"/>
      <c r="D59" s="198"/>
      <c r="E59" s="225" t="s">
        <v>246</v>
      </c>
      <c r="F59" s="226">
        <v>25000</v>
      </c>
      <c r="G59" s="229">
        <v>25000</v>
      </c>
      <c r="H59" s="230"/>
      <c r="I59" s="168" t="s">
        <v>368</v>
      </c>
      <c r="J59" s="202" t="s">
        <v>331</v>
      </c>
      <c r="K59" s="231" t="s">
        <v>330</v>
      </c>
      <c r="L59" s="230">
        <v>25000</v>
      </c>
      <c r="M59" s="230"/>
      <c r="N59" s="228">
        <v>25000</v>
      </c>
      <c r="O59" s="228">
        <f>G59-N59</f>
        <v>0</v>
      </c>
      <c r="P59" s="228">
        <f>N59*100/L59</f>
        <v>100</v>
      </c>
      <c r="Q59" s="228"/>
      <c r="R59" s="220" t="s">
        <v>14</v>
      </c>
      <c r="S59" s="150"/>
    </row>
    <row r="60" spans="1:19" s="136" customFormat="1" ht="24" customHeight="1" x14ac:dyDescent="0.2">
      <c r="A60" s="158"/>
      <c r="B60" s="721" t="s">
        <v>54</v>
      </c>
      <c r="C60" s="721"/>
      <c r="D60" s="721"/>
      <c r="E60" s="721"/>
      <c r="F60" s="193"/>
      <c r="G60" s="193"/>
      <c r="H60" s="193"/>
      <c r="I60" s="193"/>
      <c r="J60" s="193"/>
      <c r="K60" s="193"/>
      <c r="L60" s="193"/>
      <c r="M60" s="193"/>
      <c r="N60" s="194" t="e">
        <f>N61+#REF!+#REF!+#REF!</f>
        <v>#REF!</v>
      </c>
      <c r="O60" s="194" t="e">
        <f>O61+#REF!+#REF!+#REF!</f>
        <v>#REF!</v>
      </c>
      <c r="P60" s="194" t="e">
        <f>N60*100/F60</f>
        <v>#REF!</v>
      </c>
      <c r="Q60" s="194"/>
      <c r="R60" s="157"/>
      <c r="S60" s="150"/>
    </row>
    <row r="61" spans="1:19" s="136" customFormat="1" ht="47.25" customHeight="1" x14ac:dyDescent="0.2">
      <c r="A61" s="158"/>
      <c r="B61" s="154"/>
      <c r="C61" s="722" t="s">
        <v>55</v>
      </c>
      <c r="D61" s="722"/>
      <c r="E61" s="723"/>
      <c r="F61" s="155"/>
      <c r="G61" s="155"/>
      <c r="H61" s="155"/>
      <c r="I61" s="155"/>
      <c r="J61" s="155"/>
      <c r="K61" s="155"/>
      <c r="L61" s="155"/>
      <c r="M61" s="155"/>
      <c r="N61" s="156" t="e">
        <f t="shared" ref="N61:O61" si="17">N62+N64</f>
        <v>#REF!</v>
      </c>
      <c r="O61" s="156" t="e">
        <f t="shared" si="17"/>
        <v>#REF!</v>
      </c>
      <c r="P61" s="156">
        <v>0</v>
      </c>
      <c r="Q61" s="156"/>
      <c r="R61" s="157"/>
      <c r="S61" s="150"/>
    </row>
    <row r="62" spans="1:19" s="136" customFormat="1" ht="24" customHeight="1" x14ac:dyDescent="0.2">
      <c r="A62" s="158"/>
      <c r="B62" s="195"/>
      <c r="C62" s="196"/>
      <c r="D62" s="714" t="s">
        <v>56</v>
      </c>
      <c r="E62" s="715"/>
      <c r="F62" s="151"/>
      <c r="G62" s="151"/>
      <c r="H62" s="151"/>
      <c r="I62" s="151"/>
      <c r="J62" s="151"/>
      <c r="K62" s="151"/>
      <c r="L62" s="151"/>
      <c r="M62" s="151"/>
      <c r="N62" s="152">
        <f t="shared" ref="N62:O62" si="18">N63</f>
        <v>0</v>
      </c>
      <c r="O62" s="152">
        <f t="shared" si="18"/>
        <v>1980000</v>
      </c>
      <c r="P62" s="152">
        <v>0</v>
      </c>
      <c r="Q62" s="152"/>
      <c r="R62" s="157"/>
      <c r="S62" s="150"/>
    </row>
    <row r="63" spans="1:19" s="136" customFormat="1" ht="60.75" x14ac:dyDescent="0.2">
      <c r="A63" s="158">
        <v>32</v>
      </c>
      <c r="B63" s="195"/>
      <c r="C63" s="196"/>
      <c r="D63" s="201"/>
      <c r="E63" s="161" t="s">
        <v>281</v>
      </c>
      <c r="F63" s="162">
        <f>G63</f>
        <v>1980000</v>
      </c>
      <c r="G63" s="162">
        <v>1980000</v>
      </c>
      <c r="H63" s="200">
        <v>0</v>
      </c>
      <c r="I63" s="163" t="s">
        <v>375</v>
      </c>
      <c r="J63" s="200"/>
      <c r="K63" s="200"/>
      <c r="L63" s="200"/>
      <c r="M63" s="200"/>
      <c r="N63" s="191"/>
      <c r="O63" s="191">
        <f>G63-N63</f>
        <v>1980000</v>
      </c>
      <c r="P63" s="191">
        <v>0</v>
      </c>
      <c r="Q63" s="191"/>
      <c r="R63" s="183" t="s">
        <v>282</v>
      </c>
      <c r="S63" s="150"/>
    </row>
    <row r="64" spans="1:19" s="136" customFormat="1" ht="24.75" customHeight="1" x14ac:dyDescent="0.2">
      <c r="A64" s="158"/>
      <c r="B64" s="195"/>
      <c r="C64" s="196"/>
      <c r="D64" s="714" t="s">
        <v>58</v>
      </c>
      <c r="E64" s="715"/>
      <c r="F64" s="193"/>
      <c r="G64" s="193"/>
      <c r="H64" s="193"/>
      <c r="I64" s="193"/>
      <c r="J64" s="193"/>
      <c r="K64" s="193"/>
      <c r="L64" s="193"/>
      <c r="M64" s="193"/>
      <c r="N64" s="194" t="e">
        <f>#REF!</f>
        <v>#REF!</v>
      </c>
      <c r="O64" s="194" t="e">
        <f>#REF!</f>
        <v>#REF!</v>
      </c>
      <c r="P64" s="194">
        <v>0</v>
      </c>
      <c r="Q64" s="194"/>
      <c r="R64" s="157"/>
      <c r="S64" s="150"/>
    </row>
    <row r="65" spans="1:19" s="136" customFormat="1" ht="40.5" x14ac:dyDescent="0.2">
      <c r="A65" s="158">
        <v>33</v>
      </c>
      <c r="B65" s="195"/>
      <c r="C65" s="196"/>
      <c r="D65" s="232"/>
      <c r="E65" s="233" t="s">
        <v>283</v>
      </c>
      <c r="F65" s="162">
        <f>G65</f>
        <v>1980000</v>
      </c>
      <c r="G65" s="167">
        <v>1980000</v>
      </c>
      <c r="H65" s="162">
        <v>0</v>
      </c>
      <c r="I65" s="234" t="s">
        <v>376</v>
      </c>
      <c r="J65" s="235"/>
      <c r="K65" s="235"/>
      <c r="L65" s="235"/>
      <c r="M65" s="235"/>
      <c r="N65" s="236"/>
      <c r="O65" s="236">
        <f>G65-N65</f>
        <v>1980000</v>
      </c>
      <c r="P65" s="164">
        <v>0</v>
      </c>
      <c r="Q65" s="236"/>
      <c r="R65" s="237" t="s">
        <v>176</v>
      </c>
      <c r="S65" s="150"/>
    </row>
    <row r="66" spans="1:19" s="136" customFormat="1" ht="60.75" x14ac:dyDescent="0.2">
      <c r="A66" s="158">
        <v>34</v>
      </c>
      <c r="B66" s="195"/>
      <c r="C66" s="196"/>
      <c r="D66" s="232"/>
      <c r="E66" s="233" t="s">
        <v>284</v>
      </c>
      <c r="F66" s="162">
        <f>G66</f>
        <v>792000</v>
      </c>
      <c r="G66" s="167">
        <v>792000</v>
      </c>
      <c r="H66" s="162">
        <v>0</v>
      </c>
      <c r="I66" s="234" t="s">
        <v>377</v>
      </c>
      <c r="J66" s="235"/>
      <c r="K66" s="235"/>
      <c r="L66" s="235"/>
      <c r="M66" s="235"/>
      <c r="N66" s="236"/>
      <c r="O66" s="236">
        <f t="shared" ref="O66:O67" si="19">G66-N66</f>
        <v>792000</v>
      </c>
      <c r="P66" s="164">
        <v>0</v>
      </c>
      <c r="Q66" s="236"/>
      <c r="R66" s="237" t="s">
        <v>24</v>
      </c>
      <c r="S66" s="150"/>
    </row>
    <row r="67" spans="1:19" s="136" customFormat="1" ht="40.5" x14ac:dyDescent="0.2">
      <c r="A67" s="158">
        <v>35</v>
      </c>
      <c r="B67" s="184"/>
      <c r="C67" s="185"/>
      <c r="D67" s="185"/>
      <c r="E67" s="238" t="s">
        <v>59</v>
      </c>
      <c r="F67" s="162">
        <f>G67</f>
        <v>990000</v>
      </c>
      <c r="G67" s="239">
        <v>990000</v>
      </c>
      <c r="H67" s="199">
        <v>0</v>
      </c>
      <c r="I67" s="234" t="s">
        <v>377</v>
      </c>
      <c r="J67" s="240"/>
      <c r="K67" s="240"/>
      <c r="L67" s="240"/>
      <c r="M67" s="240"/>
      <c r="N67" s="241"/>
      <c r="O67" s="242">
        <f t="shared" si="19"/>
        <v>990000</v>
      </c>
      <c r="P67" s="243">
        <v>0</v>
      </c>
      <c r="Q67" s="164"/>
      <c r="R67" s="244" t="s">
        <v>285</v>
      </c>
      <c r="S67" s="150"/>
    </row>
    <row r="68" spans="1:19" s="136" customFormat="1" ht="27.75" customHeight="1" x14ac:dyDescent="0.2">
      <c r="A68" s="158"/>
      <c r="B68" s="720" t="s">
        <v>356</v>
      </c>
      <c r="C68" s="714"/>
      <c r="D68" s="714"/>
      <c r="E68" s="715"/>
      <c r="F68" s="155"/>
      <c r="G68" s="155"/>
      <c r="H68" s="245"/>
      <c r="I68" s="245"/>
      <c r="J68" s="245"/>
      <c r="K68" s="245"/>
      <c r="L68" s="245"/>
      <c r="M68" s="245"/>
      <c r="N68" s="246">
        <f>N70+N73</f>
        <v>0</v>
      </c>
      <c r="O68" s="246">
        <f>O70+O73</f>
        <v>954700</v>
      </c>
      <c r="P68" s="246"/>
      <c r="Q68" s="246"/>
      <c r="R68" s="209"/>
      <c r="S68" s="150"/>
    </row>
    <row r="69" spans="1:19" s="136" customFormat="1" ht="27.75" customHeight="1" x14ac:dyDescent="0.2">
      <c r="A69" s="158"/>
      <c r="B69" s="247"/>
      <c r="C69" s="714" t="s">
        <v>357</v>
      </c>
      <c r="D69" s="714"/>
      <c r="E69" s="715"/>
      <c r="F69" s="155"/>
      <c r="G69" s="155"/>
      <c r="H69" s="245"/>
      <c r="I69" s="245"/>
      <c r="J69" s="245"/>
      <c r="K69" s="245"/>
      <c r="L69" s="245"/>
      <c r="M69" s="245"/>
      <c r="N69" s="246"/>
      <c r="O69" s="246"/>
      <c r="P69" s="246"/>
      <c r="Q69" s="246"/>
      <c r="R69" s="209"/>
      <c r="S69" s="150"/>
    </row>
    <row r="70" spans="1:19" ht="64.5" customHeight="1" x14ac:dyDescent="0.2">
      <c r="A70" s="158">
        <v>36</v>
      </c>
      <c r="B70" s="248"/>
      <c r="C70" s="716" t="s">
        <v>358</v>
      </c>
      <c r="D70" s="716"/>
      <c r="E70" s="717"/>
      <c r="F70" s="249">
        <f>G70</f>
        <v>468700</v>
      </c>
      <c r="G70" s="249">
        <v>468700</v>
      </c>
      <c r="H70" s="250"/>
      <c r="I70" s="250"/>
      <c r="J70" s="250"/>
      <c r="K70" s="250"/>
      <c r="L70" s="250"/>
      <c r="M70" s="250"/>
      <c r="N70" s="251"/>
      <c r="O70" s="251">
        <f>G70-N70</f>
        <v>468700</v>
      </c>
      <c r="P70" s="251"/>
      <c r="Q70" s="251"/>
      <c r="R70" s="216" t="s">
        <v>25</v>
      </c>
      <c r="S70" s="158"/>
    </row>
    <row r="71" spans="1:19" s="136" customFormat="1" ht="48" customHeight="1" x14ac:dyDescent="0.2">
      <c r="A71" s="158"/>
      <c r="B71" s="247"/>
      <c r="C71" s="714" t="s">
        <v>360</v>
      </c>
      <c r="D71" s="714"/>
      <c r="E71" s="715"/>
      <c r="F71" s="155"/>
      <c r="G71" s="155"/>
      <c r="H71" s="245"/>
      <c r="I71" s="245"/>
      <c r="J71" s="245"/>
      <c r="K71" s="245"/>
      <c r="L71" s="245"/>
      <c r="M71" s="245"/>
      <c r="N71" s="246"/>
      <c r="O71" s="246"/>
      <c r="P71" s="246"/>
      <c r="Q71" s="246"/>
      <c r="R71" s="209"/>
      <c r="S71" s="150"/>
    </row>
    <row r="72" spans="1:19" s="136" customFormat="1" ht="72" customHeight="1" x14ac:dyDescent="0.2">
      <c r="A72" s="158"/>
      <c r="B72" s="247"/>
      <c r="C72" s="716" t="s">
        <v>359</v>
      </c>
      <c r="D72" s="716"/>
      <c r="E72" s="717"/>
      <c r="F72" s="155"/>
      <c r="G72" s="155"/>
      <c r="H72" s="245"/>
      <c r="I72" s="245"/>
      <c r="J72" s="245"/>
      <c r="K72" s="245"/>
      <c r="L72" s="245"/>
      <c r="M72" s="245"/>
      <c r="N72" s="246"/>
      <c r="O72" s="246"/>
      <c r="P72" s="246"/>
      <c r="Q72" s="246"/>
      <c r="R72" s="209"/>
      <c r="S72" s="150"/>
    </row>
    <row r="73" spans="1:19" ht="60.75" x14ac:dyDescent="0.2">
      <c r="A73" s="158">
        <v>37</v>
      </c>
      <c r="B73" s="248"/>
      <c r="C73" s="233"/>
      <c r="D73" s="233"/>
      <c r="E73" s="161" t="s">
        <v>361</v>
      </c>
      <c r="F73" s="249">
        <f>G73</f>
        <v>486000</v>
      </c>
      <c r="G73" s="249">
        <v>486000</v>
      </c>
      <c r="H73" s="250"/>
      <c r="I73" s="250"/>
      <c r="J73" s="250"/>
      <c r="K73" s="250"/>
      <c r="L73" s="250"/>
      <c r="M73" s="250"/>
      <c r="N73" s="251"/>
      <c r="O73" s="251">
        <f>G73-N73</f>
        <v>486000</v>
      </c>
      <c r="P73" s="251"/>
      <c r="Q73" s="252"/>
      <c r="R73" s="216" t="s">
        <v>362</v>
      </c>
      <c r="S73" s="158"/>
    </row>
    <row r="74" spans="1:19" s="136" customFormat="1" x14ac:dyDescent="0.2">
      <c r="A74" s="158"/>
      <c r="B74" s="718" t="s">
        <v>83</v>
      </c>
      <c r="C74" s="718"/>
      <c r="D74" s="718"/>
      <c r="E74" s="718"/>
      <c r="F74" s="193">
        <f>G74</f>
        <v>108006000</v>
      </c>
      <c r="G74" s="193">
        <f>SUM(G4:G73)</f>
        <v>108006000</v>
      </c>
      <c r="H74" s="193"/>
      <c r="I74" s="193"/>
      <c r="J74" s="193"/>
      <c r="K74" s="193"/>
      <c r="L74" s="193">
        <f>SUM(L4:L73)</f>
        <v>32185100</v>
      </c>
      <c r="M74" s="193">
        <f>SUM(M4:M73)</f>
        <v>3991600</v>
      </c>
      <c r="N74" s="194" t="e">
        <f>#REF!+#REF!+#REF!+#REF!+N61+#REF!+N56+N52+#REF!+#REF!+N45+N38+N19+#REF!+N5+#REF!+#REF!</f>
        <v>#REF!</v>
      </c>
      <c r="O74" s="194" t="e">
        <f>#REF!+#REF!+#REF!+#REF!+O61+#REF!+O56+O52+#REF!+#REF!+O45+O38+O19+#REF!+O5+#REF!+#REF!</f>
        <v>#REF!</v>
      </c>
      <c r="P74" s="253" t="e">
        <f>N74*100/F74</f>
        <v>#REF!</v>
      </c>
      <c r="Q74" s="253" t="e">
        <f>#REF!</f>
        <v>#REF!</v>
      </c>
      <c r="R74" s="157"/>
      <c r="S74" s="150"/>
    </row>
  </sheetData>
  <mergeCells count="28">
    <mergeCell ref="B1:R1"/>
    <mergeCell ref="B3:E3"/>
    <mergeCell ref="C19:E19"/>
    <mergeCell ref="D20:E20"/>
    <mergeCell ref="D24:E24"/>
    <mergeCell ref="C5:E5"/>
    <mergeCell ref="B4:E4"/>
    <mergeCell ref="B51:E51"/>
    <mergeCell ref="D32:E32"/>
    <mergeCell ref="C38:E38"/>
    <mergeCell ref="C45:E45"/>
    <mergeCell ref="D46:E46"/>
    <mergeCell ref="C71:E71"/>
    <mergeCell ref="C72:E72"/>
    <mergeCell ref="B74:E74"/>
    <mergeCell ref="A2:R2"/>
    <mergeCell ref="B68:E68"/>
    <mergeCell ref="C69:E69"/>
    <mergeCell ref="C70:E70"/>
    <mergeCell ref="B60:E60"/>
    <mergeCell ref="C61:E61"/>
    <mergeCell ref="D62:E62"/>
    <mergeCell ref="D64:E64"/>
    <mergeCell ref="C52:E52"/>
    <mergeCell ref="D53:E53"/>
    <mergeCell ref="C56:E56"/>
    <mergeCell ref="D57:E57"/>
    <mergeCell ref="D49:E49"/>
  </mergeCells>
  <pageMargins left="0.19685039370078741" right="0.19685039370078741" top="0.39" bottom="0.19685039370078741" header="0.19685039370078741" footer="0.19685039370078741"/>
  <pageSetup paperSize="9" scale="85" orientation="landscape" verticalDpi="0" r:id="rId1"/>
  <headerFooter differentFirst="1">
    <oddHeader>&amp;C&amp;"TH SarabunIT๙,ธรรมดา"&amp;16&amp;P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O17"/>
  <sheetViews>
    <sheetView zoomScale="90" zoomScaleNormal="90" workbookViewId="0">
      <selection activeCell="B7" sqref="B7"/>
    </sheetView>
  </sheetViews>
  <sheetFormatPr defaultRowHeight="21" x14ac:dyDescent="0.35"/>
  <cols>
    <col min="1" max="1" width="3.5" style="265" customWidth="1"/>
    <col min="2" max="2" width="47" style="265" customWidth="1"/>
    <col min="3" max="3" width="11" style="265" customWidth="1"/>
    <col min="4" max="4" width="9.75" style="265" customWidth="1"/>
    <col min="5" max="5" width="10.75" style="265" customWidth="1"/>
    <col min="6" max="6" width="11.125" style="265" customWidth="1"/>
    <col min="7" max="7" width="10.5" style="265" customWidth="1"/>
    <col min="8" max="8" width="10.625" style="265" customWidth="1"/>
    <col min="9" max="9" width="9.75" style="265" hidden="1" customWidth="1"/>
    <col min="10" max="10" width="7.5" style="265" hidden="1" customWidth="1"/>
    <col min="11" max="11" width="7.25" style="290" hidden="1" customWidth="1"/>
    <col min="12" max="12" width="11.875" style="290" customWidth="1"/>
    <col min="13" max="13" width="10.625" style="290" customWidth="1"/>
    <col min="14" max="14" width="7.25" style="290" customWidth="1"/>
    <col min="15" max="15" width="20" style="265" customWidth="1"/>
    <col min="16" max="16384" width="9" style="265"/>
  </cols>
  <sheetData>
    <row r="1" spans="1:15" x14ac:dyDescent="0.35">
      <c r="A1" s="731" t="s">
        <v>396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  <c r="O1" s="731"/>
    </row>
    <row r="2" spans="1:15" x14ac:dyDescent="0.35">
      <c r="A2" s="732" t="s">
        <v>397</v>
      </c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</row>
    <row r="3" spans="1:15" x14ac:dyDescent="0.35">
      <c r="A3" s="731" t="s">
        <v>398</v>
      </c>
      <c r="B3" s="731"/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</row>
    <row r="4" spans="1:15" x14ac:dyDescent="0.35">
      <c r="K4" s="737" t="s">
        <v>512</v>
      </c>
      <c r="L4" s="737"/>
      <c r="M4" s="737"/>
      <c r="N4" s="737"/>
      <c r="O4" s="737"/>
    </row>
    <row r="5" spans="1:15" ht="63" x14ac:dyDescent="0.35">
      <c r="A5" s="266" t="s">
        <v>89</v>
      </c>
      <c r="B5" s="266" t="s">
        <v>90</v>
      </c>
      <c r="C5" s="267" t="s">
        <v>399</v>
      </c>
      <c r="D5" s="267" t="s">
        <v>182</v>
      </c>
      <c r="E5" s="267" t="s">
        <v>412</v>
      </c>
      <c r="F5" s="267" t="s">
        <v>256</v>
      </c>
      <c r="G5" s="267" t="s">
        <v>413</v>
      </c>
      <c r="H5" s="267" t="s">
        <v>414</v>
      </c>
      <c r="I5" s="267" t="s">
        <v>188</v>
      </c>
      <c r="J5" s="267" t="s">
        <v>189</v>
      </c>
      <c r="K5" s="291" t="s">
        <v>190</v>
      </c>
      <c r="L5" s="291" t="s">
        <v>340</v>
      </c>
      <c r="M5" s="291" t="s">
        <v>341</v>
      </c>
      <c r="N5" s="291" t="s">
        <v>190</v>
      </c>
      <c r="O5" s="267" t="s">
        <v>400</v>
      </c>
    </row>
    <row r="6" spans="1:15" ht="47.25" customHeight="1" x14ac:dyDescent="0.35">
      <c r="A6" s="733">
        <v>1</v>
      </c>
      <c r="B6" s="268" t="s">
        <v>401</v>
      </c>
      <c r="C6" s="269">
        <v>1500000</v>
      </c>
      <c r="D6" s="269"/>
      <c r="E6" s="269"/>
      <c r="F6" s="269"/>
      <c r="G6" s="269"/>
      <c r="H6" s="269"/>
      <c r="I6" s="269"/>
      <c r="J6" s="269"/>
      <c r="K6" s="292"/>
      <c r="L6" s="292"/>
      <c r="M6" s="292"/>
      <c r="N6" s="292"/>
      <c r="O6" s="270"/>
    </row>
    <row r="7" spans="1:15" ht="66.75" customHeight="1" x14ac:dyDescent="0.35">
      <c r="A7" s="734"/>
      <c r="B7" s="271" t="s">
        <v>416</v>
      </c>
      <c r="C7" s="272">
        <v>200000</v>
      </c>
      <c r="D7" s="302" t="s">
        <v>395</v>
      </c>
      <c r="E7" s="301" t="s">
        <v>435</v>
      </c>
      <c r="F7" s="299" t="s">
        <v>439</v>
      </c>
      <c r="G7" s="297">
        <v>200000</v>
      </c>
      <c r="H7" s="272">
        <f>C7-G7</f>
        <v>0</v>
      </c>
      <c r="I7" s="272"/>
      <c r="J7" s="272"/>
      <c r="K7" s="293"/>
      <c r="L7" s="293">
        <v>200000</v>
      </c>
      <c r="M7" s="293">
        <f>G7-L7</f>
        <v>0</v>
      </c>
      <c r="N7" s="293">
        <f>L7*100/G7</f>
        <v>100</v>
      </c>
      <c r="O7" s="271" t="s">
        <v>402</v>
      </c>
    </row>
    <row r="8" spans="1:15" ht="63" x14ac:dyDescent="0.35">
      <c r="A8" s="273"/>
      <c r="B8" s="271" t="s">
        <v>434</v>
      </c>
      <c r="C8" s="272">
        <v>259300</v>
      </c>
      <c r="D8" s="289" t="s">
        <v>395</v>
      </c>
      <c r="E8" s="301" t="s">
        <v>436</v>
      </c>
      <c r="F8" s="299" t="s">
        <v>440</v>
      </c>
      <c r="G8" s="297">
        <v>259000</v>
      </c>
      <c r="H8" s="272">
        <f t="shared" ref="H8:H12" si="0">C8-G8</f>
        <v>300</v>
      </c>
      <c r="I8" s="272">
        <v>259000</v>
      </c>
      <c r="J8" s="272"/>
      <c r="K8" s="293">
        <f>I8*100/G8</f>
        <v>100</v>
      </c>
      <c r="L8" s="293">
        <v>259000</v>
      </c>
      <c r="M8" s="293">
        <f t="shared" ref="M8:M12" si="1">G8-L8</f>
        <v>0</v>
      </c>
      <c r="N8" s="293">
        <f t="shared" ref="N8:N12" si="2">L8*100/G8</f>
        <v>100</v>
      </c>
      <c r="O8" s="271" t="s">
        <v>403</v>
      </c>
    </row>
    <row r="9" spans="1:15" ht="62.25" customHeight="1" x14ac:dyDescent="0.35">
      <c r="A9" s="273"/>
      <c r="B9" s="274" t="s">
        <v>445</v>
      </c>
      <c r="C9" s="275">
        <v>200000</v>
      </c>
      <c r="D9" s="302" t="s">
        <v>395</v>
      </c>
      <c r="E9" s="301" t="s">
        <v>437</v>
      </c>
      <c r="F9" s="300" t="s">
        <v>441</v>
      </c>
      <c r="G9" s="298">
        <v>200000</v>
      </c>
      <c r="H9" s="272">
        <f t="shared" si="0"/>
        <v>0</v>
      </c>
      <c r="I9" s="275"/>
      <c r="J9" s="275"/>
      <c r="K9" s="294"/>
      <c r="L9" s="294">
        <v>200000</v>
      </c>
      <c r="M9" s="293">
        <f t="shared" si="1"/>
        <v>0</v>
      </c>
      <c r="N9" s="293">
        <f t="shared" si="2"/>
        <v>100</v>
      </c>
      <c r="O9" s="274" t="s">
        <v>404</v>
      </c>
    </row>
    <row r="10" spans="1:15" ht="63" x14ac:dyDescent="0.35">
      <c r="A10" s="273"/>
      <c r="B10" s="271" t="s">
        <v>415</v>
      </c>
      <c r="C10" s="272">
        <v>300000</v>
      </c>
      <c r="D10" s="302" t="s">
        <v>395</v>
      </c>
      <c r="E10" s="301" t="s">
        <v>438</v>
      </c>
      <c r="F10" s="300" t="s">
        <v>442</v>
      </c>
      <c r="G10" s="298">
        <v>300000</v>
      </c>
      <c r="H10" s="272">
        <f>C10-G10</f>
        <v>0</v>
      </c>
      <c r="I10" s="272"/>
      <c r="J10" s="272"/>
      <c r="K10" s="293"/>
      <c r="L10" s="293">
        <v>300000</v>
      </c>
      <c r="M10" s="293">
        <f t="shared" si="1"/>
        <v>0</v>
      </c>
      <c r="N10" s="293">
        <f t="shared" si="2"/>
        <v>100</v>
      </c>
      <c r="O10" s="271" t="s">
        <v>405</v>
      </c>
    </row>
    <row r="11" spans="1:15" s="279" customFormat="1" ht="63" x14ac:dyDescent="0.35">
      <c r="A11" s="276"/>
      <c r="B11" s="277" t="s">
        <v>444</v>
      </c>
      <c r="C11" s="278">
        <v>299800</v>
      </c>
      <c r="D11" s="300" t="s">
        <v>368</v>
      </c>
      <c r="E11" s="301" t="s">
        <v>474</v>
      </c>
      <c r="F11" s="300" t="s">
        <v>475</v>
      </c>
      <c r="G11" s="298">
        <v>299800</v>
      </c>
      <c r="H11" s="272">
        <v>0</v>
      </c>
      <c r="I11" s="278"/>
      <c r="J11" s="278"/>
      <c r="K11" s="295"/>
      <c r="L11" s="295">
        <v>240967</v>
      </c>
      <c r="M11" s="293">
        <f t="shared" si="1"/>
        <v>58833</v>
      </c>
      <c r="N11" s="293">
        <v>100</v>
      </c>
      <c r="O11" s="277" t="s">
        <v>406</v>
      </c>
    </row>
    <row r="12" spans="1:15" s="282" customFormat="1" ht="63" x14ac:dyDescent="0.2">
      <c r="A12" s="273"/>
      <c r="B12" s="280" t="s">
        <v>443</v>
      </c>
      <c r="C12" s="281">
        <v>240900</v>
      </c>
      <c r="D12" s="302" t="s">
        <v>395</v>
      </c>
      <c r="E12" s="301" t="s">
        <v>451</v>
      </c>
      <c r="F12" s="299" t="s">
        <v>326</v>
      </c>
      <c r="G12" s="297">
        <v>240900</v>
      </c>
      <c r="H12" s="272">
        <f t="shared" si="0"/>
        <v>0</v>
      </c>
      <c r="I12" s="281"/>
      <c r="J12" s="281"/>
      <c r="K12" s="293"/>
      <c r="L12" s="293">
        <v>240900</v>
      </c>
      <c r="M12" s="293">
        <f t="shared" si="1"/>
        <v>0</v>
      </c>
      <c r="N12" s="293">
        <f t="shared" si="2"/>
        <v>100</v>
      </c>
      <c r="O12" s="271" t="s">
        <v>407</v>
      </c>
    </row>
    <row r="13" spans="1:15" x14ac:dyDescent="0.35">
      <c r="A13" s="735" t="s">
        <v>3</v>
      </c>
      <c r="B13" s="736"/>
      <c r="C13" s="283">
        <f>SUM(C7:C12)</f>
        <v>1500000</v>
      </c>
      <c r="D13" s="283"/>
      <c r="E13" s="283"/>
      <c r="F13" s="283"/>
      <c r="G13" s="283">
        <f>SUM(G6:G12)</f>
        <v>1499700</v>
      </c>
      <c r="H13" s="283">
        <f>SUM(H6:H12)</f>
        <v>300</v>
      </c>
      <c r="I13" s="283">
        <f t="shared" ref="I13:M13" si="3">SUM(I6:I12)</f>
        <v>259000</v>
      </c>
      <c r="J13" s="283">
        <f t="shared" si="3"/>
        <v>0</v>
      </c>
      <c r="K13" s="283">
        <f t="shared" si="3"/>
        <v>100</v>
      </c>
      <c r="L13" s="283">
        <f t="shared" si="3"/>
        <v>1440867</v>
      </c>
      <c r="M13" s="283">
        <f t="shared" si="3"/>
        <v>58833</v>
      </c>
      <c r="N13" s="296">
        <v>100</v>
      </c>
      <c r="O13" s="284"/>
    </row>
    <row r="14" spans="1:15" x14ac:dyDescent="0.35">
      <c r="A14" s="729" t="s">
        <v>408</v>
      </c>
      <c r="B14" s="730"/>
      <c r="C14" s="730"/>
      <c r="D14" s="730"/>
      <c r="E14" s="730"/>
      <c r="F14" s="730"/>
      <c r="G14" s="730"/>
      <c r="H14" s="730"/>
      <c r="I14" s="730"/>
      <c r="J14" s="730"/>
      <c r="K14" s="730"/>
      <c r="L14" s="730"/>
      <c r="M14" s="730"/>
      <c r="N14" s="730"/>
      <c r="O14" s="730"/>
    </row>
    <row r="15" spans="1:15" x14ac:dyDescent="0.35">
      <c r="A15" s="730" t="s">
        <v>409</v>
      </c>
      <c r="B15" s="730"/>
      <c r="C15" s="730"/>
      <c r="D15" s="730"/>
      <c r="E15" s="730"/>
      <c r="F15" s="730"/>
      <c r="G15" s="730"/>
      <c r="H15" s="730"/>
      <c r="I15" s="730"/>
      <c r="J15" s="730"/>
      <c r="K15" s="730"/>
      <c r="L15" s="730"/>
      <c r="M15" s="730"/>
      <c r="N15" s="730"/>
      <c r="O15" s="730"/>
    </row>
    <row r="16" spans="1:15" x14ac:dyDescent="0.35">
      <c r="A16" s="729" t="s">
        <v>410</v>
      </c>
      <c r="B16" s="729"/>
      <c r="C16" s="729"/>
      <c r="D16" s="729"/>
      <c r="E16" s="729"/>
      <c r="F16" s="729"/>
      <c r="G16" s="729"/>
      <c r="H16" s="729"/>
      <c r="I16" s="729"/>
      <c r="J16" s="729"/>
      <c r="K16" s="729"/>
      <c r="L16" s="729"/>
      <c r="M16" s="729"/>
      <c r="N16" s="729"/>
      <c r="O16" s="729"/>
    </row>
    <row r="17" spans="1:15" x14ac:dyDescent="0.35">
      <c r="A17" s="730" t="s">
        <v>411</v>
      </c>
      <c r="B17" s="730"/>
      <c r="C17" s="730"/>
      <c r="D17" s="730"/>
      <c r="E17" s="730"/>
      <c r="F17" s="730"/>
      <c r="G17" s="730"/>
      <c r="H17" s="730"/>
      <c r="I17" s="730"/>
      <c r="J17" s="730"/>
      <c r="K17" s="730"/>
      <c r="L17" s="730"/>
      <c r="M17" s="730"/>
      <c r="N17" s="730"/>
      <c r="O17" s="730"/>
    </row>
  </sheetData>
  <mergeCells count="10">
    <mergeCell ref="A14:O14"/>
    <mergeCell ref="A15:O15"/>
    <mergeCell ref="A16:O16"/>
    <mergeCell ref="A17:O17"/>
    <mergeCell ref="A1:O1"/>
    <mergeCell ref="A2:O2"/>
    <mergeCell ref="A3:O3"/>
    <mergeCell ref="A6:A7"/>
    <mergeCell ref="A13:B13"/>
    <mergeCell ref="K4:O4"/>
  </mergeCells>
  <pageMargins left="0.19685039370078741" right="0.19685039370078741" top="0.27559055118110237" bottom="0.19685039370078741" header="0.31496062992125984" footer="0.19685039370078741"/>
  <pageSetup paperSize="9" scale="80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15"/>
  <sheetViews>
    <sheetView workbookViewId="0">
      <selection activeCell="C6" sqref="C6"/>
    </sheetView>
  </sheetViews>
  <sheetFormatPr defaultRowHeight="14.25" x14ac:dyDescent="0.2"/>
  <cols>
    <col min="1" max="1" width="3.375" customWidth="1"/>
    <col min="2" max="2" width="45.5" customWidth="1"/>
    <col min="3" max="3" width="13.75" customWidth="1"/>
    <col min="4" max="4" width="13.25" customWidth="1"/>
    <col min="5" max="5" width="11.125" customWidth="1"/>
    <col min="6" max="6" width="15" customWidth="1"/>
    <col min="7" max="8" width="9.875" bestFit="1" customWidth="1"/>
  </cols>
  <sheetData>
    <row r="1" spans="1:8" ht="57" customHeight="1" x14ac:dyDescent="0.35">
      <c r="A1" s="738" t="s">
        <v>507</v>
      </c>
      <c r="B1" s="738"/>
      <c r="C1" s="738"/>
      <c r="D1" s="738"/>
      <c r="E1" s="738"/>
      <c r="F1" s="738"/>
    </row>
    <row r="2" spans="1:8" ht="21" x14ac:dyDescent="0.35">
      <c r="A2" s="342"/>
      <c r="B2" s="342"/>
      <c r="C2" s="342"/>
      <c r="D2" s="342"/>
      <c r="E2" s="342"/>
      <c r="F2" s="342"/>
    </row>
    <row r="3" spans="1:8" ht="15.75" x14ac:dyDescent="0.25">
      <c r="A3" s="739" t="s">
        <v>600</v>
      </c>
      <c r="B3" s="739"/>
      <c r="C3" s="739"/>
      <c r="D3" s="739"/>
      <c r="E3" s="739"/>
      <c r="F3" s="739"/>
    </row>
    <row r="4" spans="1:8" ht="42" x14ac:dyDescent="0.2">
      <c r="A4" s="344" t="s">
        <v>89</v>
      </c>
      <c r="B4" s="345" t="s">
        <v>504</v>
      </c>
      <c r="C4" s="345" t="s">
        <v>505</v>
      </c>
      <c r="D4" s="345" t="s">
        <v>508</v>
      </c>
      <c r="E4" s="345" t="s">
        <v>509</v>
      </c>
      <c r="F4" s="345" t="s">
        <v>339</v>
      </c>
    </row>
    <row r="5" spans="1:8" ht="42" x14ac:dyDescent="0.35">
      <c r="A5" s="346"/>
      <c r="B5" s="347" t="s">
        <v>506</v>
      </c>
      <c r="C5" s="346"/>
      <c r="D5" s="346"/>
      <c r="E5" s="346"/>
      <c r="F5" s="346"/>
    </row>
    <row r="6" spans="1:8" ht="42" x14ac:dyDescent="0.35">
      <c r="A6" s="374">
        <v>1</v>
      </c>
      <c r="B6" s="343" t="s">
        <v>562</v>
      </c>
      <c r="C6" s="348">
        <v>252000</v>
      </c>
      <c r="D6" s="554">
        <v>252000</v>
      </c>
      <c r="E6" s="348">
        <f t="shared" ref="E6:E14" si="0">C6-D6</f>
        <v>0</v>
      </c>
      <c r="F6" s="377" t="s">
        <v>26</v>
      </c>
      <c r="G6" s="378">
        <v>22405</v>
      </c>
    </row>
    <row r="7" spans="1:8" ht="42" x14ac:dyDescent="0.35">
      <c r="A7" s="374">
        <v>2</v>
      </c>
      <c r="B7" s="343" t="s">
        <v>563</v>
      </c>
      <c r="C7" s="348">
        <v>120000</v>
      </c>
      <c r="D7" s="375">
        <v>120000</v>
      </c>
      <c r="E7" s="348">
        <f t="shared" si="0"/>
        <v>0</v>
      </c>
      <c r="F7" s="376" t="s">
        <v>27</v>
      </c>
      <c r="G7" s="378">
        <v>22404</v>
      </c>
    </row>
    <row r="8" spans="1:8" ht="42" x14ac:dyDescent="0.35">
      <c r="A8" s="374">
        <v>3</v>
      </c>
      <c r="B8" s="343" t="s">
        <v>564</v>
      </c>
      <c r="C8" s="348">
        <v>76000</v>
      </c>
      <c r="D8" s="375">
        <v>73720</v>
      </c>
      <c r="E8" s="348">
        <f t="shared" si="0"/>
        <v>2280</v>
      </c>
      <c r="F8" s="376" t="s">
        <v>499</v>
      </c>
      <c r="G8" s="378">
        <v>22405</v>
      </c>
      <c r="H8" s="378">
        <v>22422</v>
      </c>
    </row>
    <row r="9" spans="1:8" ht="42" x14ac:dyDescent="0.35">
      <c r="A9" s="374">
        <v>4</v>
      </c>
      <c r="B9" s="343" t="s">
        <v>565</v>
      </c>
      <c r="C9" s="348">
        <v>104000</v>
      </c>
      <c r="D9" s="375">
        <v>104000</v>
      </c>
      <c r="E9" s="348">
        <f t="shared" si="0"/>
        <v>0</v>
      </c>
      <c r="F9" s="376" t="s">
        <v>24</v>
      </c>
      <c r="G9" s="378">
        <v>22405</v>
      </c>
    </row>
    <row r="10" spans="1:8" ht="42" x14ac:dyDescent="0.35">
      <c r="A10" s="374">
        <v>5</v>
      </c>
      <c r="B10" s="343" t="s">
        <v>566</v>
      </c>
      <c r="C10" s="348">
        <v>216000</v>
      </c>
      <c r="D10" s="375">
        <v>216000</v>
      </c>
      <c r="E10" s="348">
        <f t="shared" si="0"/>
        <v>0</v>
      </c>
      <c r="F10" s="376" t="s">
        <v>28</v>
      </c>
      <c r="G10" s="378">
        <v>22418</v>
      </c>
    </row>
    <row r="11" spans="1:8" ht="42" x14ac:dyDescent="0.35">
      <c r="A11" s="374">
        <v>6</v>
      </c>
      <c r="B11" s="343" t="s">
        <v>567</v>
      </c>
      <c r="C11" s="348">
        <v>96000</v>
      </c>
      <c r="D11" s="349"/>
      <c r="E11" s="348">
        <f t="shared" si="0"/>
        <v>96000</v>
      </c>
      <c r="F11" s="376" t="s">
        <v>176</v>
      </c>
    </row>
    <row r="12" spans="1:8" ht="42" x14ac:dyDescent="0.35">
      <c r="A12" s="374">
        <v>7</v>
      </c>
      <c r="B12" s="343" t="s">
        <v>568</v>
      </c>
      <c r="C12" s="348">
        <v>208000</v>
      </c>
      <c r="D12" s="375">
        <v>208000</v>
      </c>
      <c r="E12" s="348">
        <f t="shared" si="0"/>
        <v>0</v>
      </c>
      <c r="F12" s="376" t="s">
        <v>499</v>
      </c>
      <c r="G12" s="378">
        <v>22405</v>
      </c>
    </row>
    <row r="13" spans="1:8" ht="42" x14ac:dyDescent="0.35">
      <c r="A13" s="374"/>
      <c r="B13" s="343" t="s">
        <v>595</v>
      </c>
      <c r="C13" s="348">
        <v>149000</v>
      </c>
      <c r="D13" s="349"/>
      <c r="E13" s="348">
        <f t="shared" si="0"/>
        <v>149000</v>
      </c>
      <c r="F13" s="376" t="s">
        <v>28</v>
      </c>
    </row>
    <row r="14" spans="1:8" ht="42" x14ac:dyDescent="0.35">
      <c r="A14" s="374"/>
      <c r="B14" s="343" t="s">
        <v>596</v>
      </c>
      <c r="C14" s="348">
        <v>145500</v>
      </c>
      <c r="D14" s="349"/>
      <c r="E14" s="348">
        <f t="shared" si="0"/>
        <v>145500</v>
      </c>
      <c r="F14" s="376" t="s">
        <v>28</v>
      </c>
    </row>
    <row r="15" spans="1:8" s="352" customFormat="1" ht="21" x14ac:dyDescent="0.35">
      <c r="A15" s="350"/>
      <c r="B15" s="346" t="s">
        <v>3</v>
      </c>
      <c r="C15" s="351">
        <f>SUM(C6:C14)</f>
        <v>1366500</v>
      </c>
      <c r="D15" s="351">
        <f>SUM(D6:D12)</f>
        <v>973720</v>
      </c>
      <c r="E15" s="351">
        <f>SUM(E6:E12)</f>
        <v>98280</v>
      </c>
      <c r="F15" s="346"/>
    </row>
  </sheetData>
  <mergeCells count="2">
    <mergeCell ref="A1:F1"/>
    <mergeCell ref="A3:F3"/>
  </mergeCells>
  <pageMargins left="0.19685039370078741" right="0.19685039370078741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งบกลุ่มจังหวัด 2561</vt:lpstr>
      <vt:lpstr>แผนภาค 2561 </vt:lpstr>
      <vt:lpstr>งบจังหวัด 2561</vt:lpstr>
      <vt:lpstr> 8 ล้าน</vt:lpstr>
      <vt:lpstr> งบ 250000 เหมียว</vt:lpstr>
      <vt:lpstr>Sheet1</vt:lpstr>
      <vt:lpstr>งบเร่งด่วน 61</vt:lpstr>
      <vt:lpstr>งบเร่งด่วน 61 (รอบ2)</vt:lpstr>
      <vt:lpstr>'งบจังหวัด 2561'!Print_Area</vt:lpstr>
      <vt:lpstr>' 8 ล้าน'!Print_Titles</vt:lpstr>
      <vt:lpstr>Sheet1!Print_Titles</vt:lpstr>
      <vt:lpstr>'งบกลุ่มจังหวัด 2561'!Print_Titles</vt:lpstr>
      <vt:lpstr>'งบจังหวัด 2561'!Print_Titles</vt:lpstr>
      <vt:lpstr>'แผนภาค 2561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jass</cp:lastModifiedBy>
  <cp:lastPrinted>2018-05-24T02:20:10Z</cp:lastPrinted>
  <dcterms:created xsi:type="dcterms:W3CDTF">2017-08-04T07:03:38Z</dcterms:created>
  <dcterms:modified xsi:type="dcterms:W3CDTF">2018-05-28T07:10:06Z</dcterms:modified>
</cp:coreProperties>
</file>