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345" windowWidth="10200" windowHeight="7215" activeTab="2"/>
  </bookViews>
  <sheets>
    <sheet name="งบกลุ่มจังหวัด 2561" sheetId="4" r:id="rId1"/>
    <sheet name="แผนภาค 2561 " sheetId="3" r:id="rId2"/>
    <sheet name="งบจังหวัด 2561" sheetId="1" r:id="rId3"/>
    <sheet name=" 8 ล้าน" sheetId="5" state="hidden" r:id="rId4"/>
    <sheet name=" งบ 250000 เหมียว" sheetId="7" state="hidden" r:id="rId5"/>
    <sheet name="Sheet1" sheetId="8" state="hidden" r:id="rId6"/>
    <sheet name="งบเร่งด่วน 61" sheetId="9" state="hidden" r:id="rId7"/>
    <sheet name="งบเร่งด่วน 61 (รอบ2)" sheetId="10" state="hidden" r:id="rId8"/>
    <sheet name="งบรองนายก" sheetId="11" state="hidden" r:id="rId9"/>
  </sheets>
  <definedNames>
    <definedName name="_xlnm._FilterDatabase" localSheetId="0" hidden="1">'งบกลุ่มจังหวัด 2561'!$A$5:$F$33</definedName>
    <definedName name="_xlnm._FilterDatabase" localSheetId="2" hidden="1">'งบจังหวัด 2561'!$A$5:$Q$224</definedName>
    <definedName name="_xlnm._FilterDatabase" localSheetId="1" hidden="1">'แผนภาค 2561 '!$A$5:$M$5</definedName>
    <definedName name="_xlnm.Print_Area" localSheetId="2">'งบจังหวัด 2561'!$A$1:$Q$224</definedName>
    <definedName name="_xlnm.Print_Titles" localSheetId="3">' 8 ล้าน'!$4:$5</definedName>
    <definedName name="_xlnm.Print_Titles" localSheetId="5">Sheet1!$3:$3</definedName>
    <definedName name="_xlnm.Print_Titles" localSheetId="0">'งบกลุ่มจังหวัด 2561'!$5:$6</definedName>
    <definedName name="_xlnm.Print_Titles" localSheetId="2">'งบจังหวัด 2561'!$5:$6</definedName>
    <definedName name="_xlnm.Print_Titles" localSheetId="1">'แผนภาค 2561 '!$5:$6</definedName>
  </definedNames>
  <calcPr calcId="144525"/>
</workbook>
</file>

<file path=xl/calcChain.xml><?xml version="1.0" encoding="utf-8"?>
<calcChain xmlns="http://schemas.openxmlformats.org/spreadsheetml/2006/main">
  <c r="L23" i="3" l="1"/>
  <c r="L16" i="3"/>
  <c r="I32" i="3" l="1"/>
  <c r="I23" i="3"/>
  <c r="J23" i="3"/>
  <c r="K23" i="3"/>
  <c r="H23" i="3"/>
  <c r="K26" i="3"/>
  <c r="I26" i="3"/>
  <c r="F48" i="5" l="1"/>
  <c r="F77" i="5" l="1"/>
  <c r="P106" i="1" l="1"/>
  <c r="P107" i="1"/>
  <c r="P203" i="1"/>
  <c r="N203" i="1"/>
  <c r="M203" i="1"/>
  <c r="R203" i="1" s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176" i="1"/>
  <c r="R175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N219" i="1" l="1"/>
  <c r="N218" i="1"/>
  <c r="N53" i="1"/>
  <c r="E24" i="4" l="1"/>
  <c r="M135" i="1" l="1"/>
  <c r="M69" i="1" l="1"/>
  <c r="M55" i="1"/>
  <c r="M60" i="1"/>
  <c r="F76" i="5"/>
  <c r="N186" i="1" l="1"/>
  <c r="M186" i="1"/>
  <c r="F11" i="5"/>
  <c r="M49" i="1" l="1"/>
  <c r="F57" i="5" l="1"/>
  <c r="G69" i="5"/>
  <c r="I69" i="5"/>
  <c r="F38" i="5"/>
  <c r="G55" i="5"/>
  <c r="I55" i="5"/>
  <c r="M128" i="1" l="1"/>
  <c r="M67" i="1"/>
  <c r="J10" i="11" l="1"/>
  <c r="I10" i="11"/>
  <c r="G10" i="11"/>
  <c r="I11" i="11"/>
  <c r="G11" i="11"/>
  <c r="G9" i="11"/>
  <c r="G12" i="1" l="1"/>
  <c r="P12" i="1"/>
  <c r="G176" i="1"/>
  <c r="F203" i="1"/>
  <c r="G203" i="1"/>
  <c r="G138" i="1"/>
  <c r="G126" i="1"/>
  <c r="P34" i="1"/>
  <c r="G34" i="1"/>
  <c r="F223" i="1"/>
  <c r="F207" i="1"/>
  <c r="F206" i="1"/>
  <c r="F101" i="1"/>
  <c r="F100" i="1"/>
  <c r="F98" i="1"/>
  <c r="F92" i="1"/>
  <c r="F89" i="1"/>
  <c r="F52" i="1"/>
  <c r="E219" i="1"/>
  <c r="E218" i="1"/>
  <c r="M33" i="1"/>
  <c r="D10" i="3"/>
  <c r="D20" i="3"/>
  <c r="D16" i="3"/>
  <c r="D23" i="3"/>
  <c r="K27" i="3"/>
  <c r="K28" i="3"/>
  <c r="I27" i="3"/>
  <c r="I28" i="3"/>
  <c r="K24" i="3"/>
  <c r="H32" i="3"/>
  <c r="D24" i="3"/>
  <c r="I24" i="3" s="1"/>
  <c r="M164" i="1" l="1"/>
  <c r="F72" i="5"/>
  <c r="M89" i="1"/>
  <c r="M170" i="1" l="1"/>
  <c r="M108" i="1"/>
  <c r="F16" i="5"/>
  <c r="M35" i="4" l="1"/>
  <c r="K35" i="4"/>
  <c r="N69" i="1" l="1"/>
  <c r="G38" i="5" l="1"/>
  <c r="G54" i="5"/>
  <c r="I54" i="5"/>
  <c r="M158" i="1" l="1"/>
  <c r="F43" i="5" l="1"/>
  <c r="E41" i="1" l="1"/>
  <c r="M21" i="1" l="1"/>
  <c r="F10" i="5" l="1"/>
  <c r="F28" i="5"/>
  <c r="M53" i="1"/>
  <c r="F50" i="5"/>
  <c r="N217" i="1" l="1"/>
  <c r="M217" i="1"/>
  <c r="F45" i="5"/>
  <c r="N62" i="1" l="1"/>
  <c r="O62" i="1"/>
  <c r="N61" i="1"/>
  <c r="O61" i="1"/>
  <c r="O66" i="1"/>
  <c r="M19" i="1"/>
  <c r="M28" i="1"/>
  <c r="M198" i="1"/>
  <c r="M194" i="1"/>
  <c r="G68" i="5" l="1"/>
  <c r="I68" i="5"/>
  <c r="M134" i="1" l="1"/>
  <c r="M176" i="1"/>
  <c r="F35" i="5"/>
  <c r="M51" i="1"/>
  <c r="F33" i="5" l="1"/>
  <c r="F32" i="5" l="1"/>
  <c r="F36" i="5"/>
  <c r="M18" i="1"/>
  <c r="M20" i="1"/>
  <c r="M132" i="1"/>
  <c r="F31" i="5" l="1"/>
  <c r="D5" i="7"/>
  <c r="F34" i="5"/>
  <c r="F63" i="1" l="1"/>
  <c r="F109" i="1" l="1"/>
  <c r="R3" i="1"/>
  <c r="F26" i="4" l="1"/>
  <c r="Q22" i="4"/>
  <c r="Q8" i="4"/>
  <c r="F15" i="5" l="1"/>
  <c r="F65" i="5" l="1"/>
  <c r="F23" i="5"/>
  <c r="M178" i="1" l="1"/>
  <c r="N89" i="1" l="1"/>
  <c r="K38" i="4" l="1"/>
  <c r="K37" i="4"/>
  <c r="M38" i="4"/>
  <c r="M37" i="4"/>
  <c r="O211" i="1"/>
  <c r="L211" i="1"/>
  <c r="N211" i="1"/>
  <c r="F38" i="4"/>
  <c r="F37" i="4"/>
  <c r="F221" i="1"/>
  <c r="F12" i="5"/>
  <c r="N12" i="1" l="1"/>
  <c r="G12" i="11" l="1"/>
  <c r="H12" i="11"/>
  <c r="F12" i="11"/>
  <c r="J12" i="11" s="1"/>
  <c r="J9" i="11"/>
  <c r="J11" i="11"/>
  <c r="J8" i="11"/>
  <c r="I9" i="11"/>
  <c r="I8" i="11"/>
  <c r="I12" i="11" l="1"/>
  <c r="N138" i="1"/>
  <c r="M138" i="1"/>
  <c r="M79" i="1" l="1"/>
  <c r="M40" i="1" l="1"/>
  <c r="F73" i="5" l="1"/>
  <c r="I31" i="3" l="1"/>
  <c r="I30" i="3"/>
  <c r="I29" i="3"/>
  <c r="F59" i="5" l="1"/>
  <c r="F61" i="5"/>
  <c r="G8" i="11" l="1"/>
  <c r="G53" i="5"/>
  <c r="I53" i="5"/>
  <c r="N191" i="1" l="1"/>
  <c r="N182" i="1"/>
  <c r="P178" i="1"/>
  <c r="N178" i="1" s="1"/>
  <c r="R178" i="1" s="1"/>
  <c r="N196" i="1"/>
  <c r="F24" i="5"/>
  <c r="M179" i="1" l="1"/>
  <c r="L24" i="4" l="1"/>
  <c r="M70" i="1" l="1"/>
  <c r="N31" i="1" l="1"/>
  <c r="M31" i="1"/>
  <c r="M126" i="1" l="1"/>
  <c r="M34" i="1"/>
  <c r="O51" i="1" l="1"/>
  <c r="M30" i="1" l="1"/>
  <c r="N52" i="1" l="1"/>
  <c r="L52" i="1"/>
  <c r="O206" i="1"/>
  <c r="O207" i="1"/>
  <c r="N207" i="1"/>
  <c r="L207" i="1"/>
  <c r="N222" i="1"/>
  <c r="N223" i="1"/>
  <c r="K203" i="1"/>
  <c r="L222" i="1"/>
  <c r="L220" i="1" s="1"/>
  <c r="L223" i="1"/>
  <c r="E198" i="1"/>
  <c r="E199" i="1"/>
  <c r="E200" i="1"/>
  <c r="E201" i="1"/>
  <c r="E196" i="1"/>
  <c r="R196" i="1" s="1"/>
  <c r="E197" i="1"/>
  <c r="E194" i="1"/>
  <c r="E195" i="1"/>
  <c r="E191" i="1"/>
  <c r="R191" i="1" s="1"/>
  <c r="E192" i="1"/>
  <c r="E193" i="1"/>
  <c r="E188" i="1"/>
  <c r="E189" i="1"/>
  <c r="E190" i="1"/>
  <c r="E185" i="1"/>
  <c r="E186" i="1"/>
  <c r="R186" i="1" s="1"/>
  <c r="E187" i="1"/>
  <c r="E183" i="1"/>
  <c r="E184" i="1"/>
  <c r="E180" i="1"/>
  <c r="E181" i="1"/>
  <c r="E182" i="1"/>
  <c r="R182" i="1" s="1"/>
  <c r="E179" i="1"/>
  <c r="E49" i="1"/>
  <c r="P50" i="1"/>
  <c r="P48" i="1" s="1"/>
  <c r="P54" i="1"/>
  <c r="F60" i="1"/>
  <c r="E55" i="1"/>
  <c r="E108" i="1"/>
  <c r="P125" i="1"/>
  <c r="E211" i="1"/>
  <c r="E213" i="1"/>
  <c r="E215" i="1"/>
  <c r="E217" i="1"/>
  <c r="R11" i="1"/>
  <c r="N126" i="1" l="1"/>
  <c r="M220" i="1"/>
  <c r="L20" i="3" l="1"/>
  <c r="L21" i="3"/>
  <c r="M38" i="1" l="1"/>
  <c r="C12" i="11" l="1"/>
  <c r="N51" i="1" l="1"/>
  <c r="M152" i="1" l="1"/>
  <c r="G52" i="5" l="1"/>
  <c r="I52" i="5"/>
  <c r="L30" i="4" l="1"/>
  <c r="M110" i="1"/>
  <c r="M181" i="1" l="1"/>
  <c r="F74" i="5" l="1"/>
  <c r="G67" i="5" l="1"/>
  <c r="I67" i="5"/>
  <c r="E13" i="10" l="1"/>
  <c r="E14" i="10"/>
  <c r="C15" i="10"/>
  <c r="N87" i="1" l="1"/>
  <c r="M87" i="1"/>
  <c r="M200" i="1" l="1"/>
  <c r="I66" i="5"/>
  <c r="G66" i="5"/>
  <c r="N221" i="1" l="1"/>
  <c r="N220" i="1" s="1"/>
  <c r="F95" i="1"/>
  <c r="F78" i="1"/>
  <c r="F220" i="1"/>
  <c r="E223" i="1"/>
  <c r="E222" i="1"/>
  <c r="E221" i="1"/>
  <c r="E220" i="1" l="1"/>
  <c r="D15" i="10" l="1"/>
  <c r="K30" i="3" l="1"/>
  <c r="K31" i="3"/>
  <c r="K29" i="3"/>
  <c r="D22" i="3"/>
  <c r="C31" i="3"/>
  <c r="C30" i="3"/>
  <c r="C29" i="3"/>
  <c r="M39" i="4"/>
  <c r="F33" i="4"/>
  <c r="E17" i="4"/>
  <c r="F19" i="4"/>
  <c r="F20" i="4"/>
  <c r="F21" i="4"/>
  <c r="E11" i="4"/>
  <c r="F13" i="4"/>
  <c r="F14" i="4"/>
  <c r="D39" i="4"/>
  <c r="G167" i="1"/>
  <c r="G162" i="1"/>
  <c r="G152" i="1"/>
  <c r="G135" i="1"/>
  <c r="G128" i="1"/>
  <c r="G116" i="1"/>
  <c r="G108" i="1"/>
  <c r="G105" i="1"/>
  <c r="G74" i="1"/>
  <c r="G73" i="1"/>
  <c r="G49" i="1"/>
  <c r="G47" i="1"/>
  <c r="G46" i="1"/>
  <c r="G38" i="1"/>
  <c r="G36" i="1"/>
  <c r="G24" i="1"/>
  <c r="G16" i="1"/>
  <c r="G11" i="1"/>
  <c r="F147" i="1"/>
  <c r="F88" i="1"/>
  <c r="K88" i="1"/>
  <c r="F86" i="1"/>
  <c r="K86" i="1"/>
  <c r="F85" i="1"/>
  <c r="K85" i="1"/>
  <c r="F83" i="1"/>
  <c r="K83" i="1"/>
  <c r="F205" i="1"/>
  <c r="E203" i="1" s="1"/>
  <c r="K80" i="1"/>
  <c r="N80" i="1"/>
  <c r="F80" i="1"/>
  <c r="F81" i="1"/>
  <c r="F66" i="1"/>
  <c r="F62" i="1"/>
  <c r="F61" i="1"/>
  <c r="M189" i="1" l="1"/>
  <c r="M188" i="1"/>
  <c r="N206" i="1" l="1"/>
  <c r="L206" i="1"/>
  <c r="L203" i="1" s="1"/>
  <c r="M12" i="1" l="1"/>
  <c r="F25" i="5" l="1"/>
  <c r="D38" i="4" l="1"/>
  <c r="D37" i="4"/>
  <c r="D35" i="4"/>
  <c r="E12" i="10" l="1"/>
  <c r="E6" i="10"/>
  <c r="N180" i="1" l="1"/>
  <c r="R180" i="1" s="1"/>
  <c r="N181" i="1"/>
  <c r="R181" i="1" s="1"/>
  <c r="N183" i="1"/>
  <c r="R183" i="1" s="1"/>
  <c r="N185" i="1"/>
  <c r="R185" i="1" s="1"/>
  <c r="N187" i="1"/>
  <c r="R187" i="1" s="1"/>
  <c r="N188" i="1"/>
  <c r="R188" i="1" s="1"/>
  <c r="N189" i="1"/>
  <c r="R189" i="1" s="1"/>
  <c r="N190" i="1"/>
  <c r="R190" i="1" s="1"/>
  <c r="N192" i="1"/>
  <c r="R192" i="1" s="1"/>
  <c r="N193" i="1"/>
  <c r="R193" i="1" s="1"/>
  <c r="N194" i="1"/>
  <c r="R194" i="1" s="1"/>
  <c r="N195" i="1"/>
  <c r="R195" i="1" s="1"/>
  <c r="N197" i="1"/>
  <c r="R197" i="1" s="1"/>
  <c r="N198" i="1"/>
  <c r="R198" i="1" s="1"/>
  <c r="N199" i="1"/>
  <c r="R199" i="1" s="1"/>
  <c r="N200" i="1"/>
  <c r="R200" i="1" s="1"/>
  <c r="N201" i="1"/>
  <c r="R201" i="1" s="1"/>
  <c r="N179" i="1"/>
  <c r="R179" i="1" s="1"/>
  <c r="M184" i="1"/>
  <c r="N184" i="1" s="1"/>
  <c r="R184" i="1" s="1"/>
  <c r="M155" i="1" l="1"/>
  <c r="F49" i="5"/>
  <c r="H15" i="3"/>
  <c r="O31" i="4" l="1"/>
  <c r="O29" i="4"/>
  <c r="O27" i="4"/>
  <c r="O25" i="4"/>
  <c r="M24" i="4"/>
  <c r="O23" i="4"/>
  <c r="O9" i="4"/>
  <c r="O8" i="4" s="1"/>
  <c r="O22" i="4" l="1"/>
  <c r="O7" i="4" s="1"/>
  <c r="G51" i="5"/>
  <c r="I51" i="5"/>
  <c r="I50" i="5"/>
  <c r="G50" i="5"/>
  <c r="O40" i="4" l="1"/>
  <c r="F27" i="5"/>
  <c r="M196" i="1" l="1"/>
  <c r="L25" i="3" l="1"/>
  <c r="M168" i="1" l="1"/>
  <c r="F29" i="5" l="1"/>
  <c r="I16" i="3" l="1"/>
  <c r="K16" i="3"/>
  <c r="K25" i="3"/>
  <c r="I25" i="3"/>
  <c r="D21" i="3"/>
  <c r="I21" i="3" s="1"/>
  <c r="C28" i="3"/>
  <c r="C27" i="3"/>
  <c r="C26" i="3"/>
  <c r="C25" i="3"/>
  <c r="C23" i="3" l="1"/>
  <c r="K10" i="3"/>
  <c r="I10" i="3"/>
  <c r="M26" i="1" l="1"/>
  <c r="M167" i="1" l="1"/>
  <c r="N167" i="1" s="1"/>
  <c r="M116" i="1" l="1"/>
  <c r="M47" i="1" l="1"/>
  <c r="M105" i="1" l="1"/>
  <c r="N135" i="1"/>
  <c r="E11" i="10" l="1"/>
  <c r="E10" i="10"/>
  <c r="N55" i="1" l="1"/>
  <c r="N128" i="1"/>
  <c r="N49" i="1"/>
  <c r="E9" i="10"/>
  <c r="E7" i="10"/>
  <c r="E8" i="10"/>
  <c r="E15" i="10" l="1"/>
  <c r="M29" i="1"/>
  <c r="M160" i="1" l="1"/>
  <c r="L62" i="1" l="1"/>
  <c r="L61" i="1"/>
  <c r="P86" i="1" l="1"/>
  <c r="P83" i="1"/>
  <c r="L66" i="1" l="1"/>
  <c r="L63" i="1"/>
  <c r="L19" i="3"/>
  <c r="K21" i="3" l="1"/>
  <c r="M173" i="1"/>
  <c r="G65" i="5" l="1"/>
  <c r="I65" i="5"/>
  <c r="E64" i="1" l="1"/>
  <c r="F26" i="5" l="1"/>
  <c r="I64" i="5" l="1"/>
  <c r="G64" i="5"/>
  <c r="C10" i="3" l="1"/>
  <c r="C21" i="3"/>
  <c r="C22" i="3"/>
  <c r="C16" i="3"/>
  <c r="P20" i="1" l="1"/>
  <c r="M22" i="1" l="1"/>
  <c r="G49" i="5" l="1"/>
  <c r="I49" i="5"/>
  <c r="M24" i="1" l="1"/>
  <c r="N24" i="1" s="1"/>
  <c r="C20" i="3" l="1"/>
  <c r="D19" i="3"/>
  <c r="C24" i="3"/>
  <c r="M25" i="1"/>
  <c r="I19" i="3" l="1"/>
  <c r="C19" i="3"/>
  <c r="N152" i="1"/>
  <c r="M36" i="1" l="1"/>
  <c r="N36" i="1" s="1"/>
  <c r="M165" i="1" l="1"/>
  <c r="N116" i="1" l="1"/>
  <c r="N47" i="1"/>
  <c r="M161" i="1" l="1"/>
  <c r="M162" i="1"/>
  <c r="N162" i="1" s="1"/>
  <c r="O108" i="1"/>
  <c r="M11" i="1"/>
  <c r="N11" i="1" s="1"/>
  <c r="F91" i="1" l="1"/>
  <c r="F65" i="1" l="1"/>
  <c r="F51" i="1"/>
  <c r="O18" i="1" l="1"/>
  <c r="M16" i="1"/>
  <c r="N108" i="1" l="1"/>
  <c r="N16" i="1"/>
  <c r="M17" i="1"/>
  <c r="N17" i="1"/>
  <c r="F146" i="1"/>
  <c r="F145" i="1"/>
  <c r="F142" i="1"/>
  <c r="F112" i="1"/>
  <c r="F102" i="1"/>
  <c r="F99" i="1"/>
  <c r="F94" i="1"/>
  <c r="F93" i="1"/>
  <c r="F87" i="1"/>
  <c r="F79" i="1"/>
  <c r="O203" i="1"/>
  <c r="E207" i="1"/>
  <c r="E206" i="1"/>
  <c r="K102" i="1" l="1"/>
  <c r="H12" i="9" l="1"/>
  <c r="M26" i="4" l="1"/>
  <c r="K26" i="4"/>
  <c r="I63" i="5" l="1"/>
  <c r="G63" i="5"/>
  <c r="M8" i="9" l="1"/>
  <c r="M9" i="9"/>
  <c r="M10" i="9"/>
  <c r="M11" i="9"/>
  <c r="M12" i="9"/>
  <c r="M7" i="9"/>
  <c r="N12" i="9"/>
  <c r="N8" i="9"/>
  <c r="N9" i="9"/>
  <c r="N10" i="9"/>
  <c r="N7" i="9"/>
  <c r="I13" i="9"/>
  <c r="J13" i="9"/>
  <c r="L13" i="9"/>
  <c r="M13" i="9" l="1"/>
  <c r="M131" i="1" l="1"/>
  <c r="N176" i="1"/>
  <c r="M23" i="1" l="1"/>
  <c r="K19" i="3" l="1"/>
  <c r="K20" i="3"/>
  <c r="K22" i="3"/>
  <c r="I20" i="3"/>
  <c r="I15" i="3" l="1"/>
  <c r="J15" i="3"/>
  <c r="K15" i="3"/>
  <c r="D15" i="3"/>
  <c r="L15" i="3" s="1"/>
  <c r="L146" i="1" l="1"/>
  <c r="M10" i="1" l="1"/>
  <c r="M15" i="1"/>
  <c r="M32" i="1"/>
  <c r="M35" i="1"/>
  <c r="M39" i="1"/>
  <c r="L147" i="1"/>
  <c r="L51" i="1"/>
  <c r="M37" i="1" l="1"/>
  <c r="N38" i="1"/>
  <c r="M13" i="1"/>
  <c r="M9" i="1" l="1"/>
  <c r="N91" i="1"/>
  <c r="H10" i="9" l="1"/>
  <c r="H8" i="9"/>
  <c r="H9" i="9"/>
  <c r="H7" i="9"/>
  <c r="P177" i="1" l="1"/>
  <c r="P175" i="1"/>
  <c r="P154" i="1"/>
  <c r="P153" i="1" s="1"/>
  <c r="P151" i="1"/>
  <c r="P149" i="1"/>
  <c r="P143" i="1"/>
  <c r="P140" i="1" s="1"/>
  <c r="P137" i="1"/>
  <c r="P136" i="1" s="1"/>
  <c r="P130" i="1"/>
  <c r="P129" i="1" s="1"/>
  <c r="P124" i="1"/>
  <c r="P120" i="1"/>
  <c r="P118" i="1"/>
  <c r="P115" i="1"/>
  <c r="P114" i="1" s="1"/>
  <c r="P104" i="1"/>
  <c r="P103" i="1" s="1"/>
  <c r="R103" i="1" s="1"/>
  <c r="P97" i="1"/>
  <c r="P90" i="1"/>
  <c r="P82" i="1"/>
  <c r="P77" i="1"/>
  <c r="P72" i="1"/>
  <c r="P71" i="1" s="1"/>
  <c r="P68" i="1"/>
  <c r="P45" i="1"/>
  <c r="P42" i="1"/>
  <c r="P41" i="1" s="1"/>
  <c r="P39" i="1"/>
  <c r="P37" i="1"/>
  <c r="P35" i="1"/>
  <c r="P123" i="1" l="1"/>
  <c r="P96" i="1"/>
  <c r="P117" i="1"/>
  <c r="P174" i="1"/>
  <c r="P148" i="1"/>
  <c r="P76" i="1"/>
  <c r="P44" i="1"/>
  <c r="P113" i="1" l="1"/>
  <c r="P139" i="1"/>
  <c r="K8" i="9" l="1"/>
  <c r="K13" i="9" s="1"/>
  <c r="F44" i="5" l="1"/>
  <c r="M73" i="1"/>
  <c r="N73" i="1" s="1"/>
  <c r="O65" i="1"/>
  <c r="N63" i="1"/>
  <c r="N65" i="1"/>
  <c r="N66" i="1"/>
  <c r="N205" i="1"/>
  <c r="N210" i="1"/>
  <c r="O210" i="1"/>
  <c r="O205" i="1"/>
  <c r="N146" i="1"/>
  <c r="N147" i="1"/>
  <c r="O146" i="1"/>
  <c r="O147" i="1"/>
  <c r="N145" i="1"/>
  <c r="O145" i="1"/>
  <c r="L145" i="1"/>
  <c r="N142" i="1"/>
  <c r="O142" i="1"/>
  <c r="L142" i="1"/>
  <c r="N112" i="1"/>
  <c r="O112" i="1"/>
  <c r="L102" i="1"/>
  <c r="L99" i="1"/>
  <c r="O102" i="1"/>
  <c r="O99" i="1"/>
  <c r="N102" i="1"/>
  <c r="N99" i="1"/>
  <c r="N60" i="1" l="1"/>
  <c r="N144" i="1"/>
  <c r="I62" i="5" l="1"/>
  <c r="G62" i="5"/>
  <c r="M121" i="1" l="1"/>
  <c r="F9" i="5" l="1"/>
  <c r="F8" i="5"/>
  <c r="G48" i="5" l="1"/>
  <c r="I48" i="5"/>
  <c r="I47" i="5"/>
  <c r="G47" i="5"/>
  <c r="I61" i="5"/>
  <c r="G61" i="5"/>
  <c r="M43" i="1" l="1"/>
  <c r="L112" i="1" l="1"/>
  <c r="L205" i="1"/>
  <c r="L133" i="1"/>
  <c r="L127" i="1"/>
  <c r="L210" i="1"/>
  <c r="L65" i="1" l="1"/>
  <c r="M75" i="1" l="1"/>
  <c r="M74" i="1"/>
  <c r="N74" i="1" s="1"/>
  <c r="E28" i="5" l="1"/>
  <c r="E23" i="5"/>
  <c r="M46" i="1" l="1"/>
  <c r="N46" i="1" s="1"/>
  <c r="N105" i="1" l="1"/>
  <c r="O110" i="1" l="1"/>
  <c r="M156" i="1" l="1"/>
  <c r="H13" i="9" l="1"/>
  <c r="G13" i="9"/>
  <c r="C13" i="9"/>
  <c r="L74" i="8" l="1"/>
  <c r="O73" i="8"/>
  <c r="F73" i="8"/>
  <c r="O70" i="8"/>
  <c r="F70" i="8"/>
  <c r="O68" i="8"/>
  <c r="N68" i="8"/>
  <c r="O67" i="8"/>
  <c r="F67" i="8"/>
  <c r="O66" i="8"/>
  <c r="F66" i="8"/>
  <c r="O65" i="8"/>
  <c r="F65" i="8"/>
  <c r="O64" i="8"/>
  <c r="N64" i="8"/>
  <c r="O63" i="8"/>
  <c r="F63" i="8"/>
  <c r="O62" i="8"/>
  <c r="N62" i="8"/>
  <c r="P59" i="8"/>
  <c r="O59" i="8"/>
  <c r="P55" i="8"/>
  <c r="O55" i="8"/>
  <c r="F55" i="8"/>
  <c r="N54" i="8"/>
  <c r="N53" i="8" s="1"/>
  <c r="N52" i="8" s="1"/>
  <c r="O50" i="8"/>
  <c r="O49" i="8" s="1"/>
  <c r="F50" i="8"/>
  <c r="N49" i="8"/>
  <c r="O48" i="8"/>
  <c r="F48" i="8"/>
  <c r="O44" i="8"/>
  <c r="F44" i="8"/>
  <c r="O43" i="8"/>
  <c r="F43" i="8"/>
  <c r="O42" i="8"/>
  <c r="F42" i="8"/>
  <c r="O41" i="8"/>
  <c r="F41" i="8"/>
  <c r="O40" i="8"/>
  <c r="F40" i="8"/>
  <c r="O39" i="8"/>
  <c r="O38" i="8" s="1"/>
  <c r="N39" i="8"/>
  <c r="N38" i="8" s="1"/>
  <c r="O37" i="8"/>
  <c r="F37" i="8"/>
  <c r="P36" i="8"/>
  <c r="O36" i="8"/>
  <c r="M36" i="8"/>
  <c r="F36" i="8"/>
  <c r="P35" i="8"/>
  <c r="O35" i="8"/>
  <c r="M35" i="8"/>
  <c r="F35" i="8"/>
  <c r="P34" i="8"/>
  <c r="O34" i="8"/>
  <c r="M34" i="8"/>
  <c r="F34" i="8"/>
  <c r="P33" i="8"/>
  <c r="O33" i="8"/>
  <c r="M33" i="8"/>
  <c r="F33" i="8"/>
  <c r="N32" i="8"/>
  <c r="P31" i="8"/>
  <c r="O31" i="8"/>
  <c r="M31" i="8"/>
  <c r="F31" i="8"/>
  <c r="P30" i="8"/>
  <c r="O30" i="8"/>
  <c r="M30" i="8"/>
  <c r="F30" i="8"/>
  <c r="P29" i="8"/>
  <c r="O29" i="8"/>
  <c r="M29" i="8"/>
  <c r="F29" i="8"/>
  <c r="P28" i="8"/>
  <c r="O28" i="8"/>
  <c r="M28" i="8"/>
  <c r="F28" i="8"/>
  <c r="P27" i="8"/>
  <c r="O27" i="8"/>
  <c r="M27" i="8"/>
  <c r="F27" i="8"/>
  <c r="P26" i="8"/>
  <c r="O26" i="8"/>
  <c r="M26" i="8"/>
  <c r="F26" i="8"/>
  <c r="P25" i="8"/>
  <c r="O25" i="8"/>
  <c r="O24" i="8" s="1"/>
  <c r="M25" i="8"/>
  <c r="F25" i="8"/>
  <c r="N24" i="8"/>
  <c r="P23" i="8"/>
  <c r="O23" i="8"/>
  <c r="M23" i="8"/>
  <c r="F23" i="8"/>
  <c r="P22" i="8"/>
  <c r="O22" i="8"/>
  <c r="G22" i="8"/>
  <c r="M22" i="8" s="1"/>
  <c r="P21" i="8"/>
  <c r="O21" i="8"/>
  <c r="M21" i="8"/>
  <c r="M74" i="8" s="1"/>
  <c r="F21" i="8"/>
  <c r="N20" i="8"/>
  <c r="O18" i="8"/>
  <c r="F18" i="8"/>
  <c r="O17" i="8"/>
  <c r="F17" i="8"/>
  <c r="O16" i="8"/>
  <c r="F16" i="8"/>
  <c r="O15" i="8"/>
  <c r="F15" i="8"/>
  <c r="O14" i="8"/>
  <c r="F14" i="8"/>
  <c r="O8" i="8"/>
  <c r="F8" i="8"/>
  <c r="O7" i="8"/>
  <c r="F7" i="8"/>
  <c r="N6" i="8"/>
  <c r="Q74" i="8"/>
  <c r="G74" i="8" l="1"/>
  <c r="F74" i="8" s="1"/>
  <c r="O61" i="8"/>
  <c r="N61" i="8"/>
  <c r="O20" i="8"/>
  <c r="P32" i="8"/>
  <c r="P54" i="8"/>
  <c r="P52" i="8"/>
  <c r="P6" i="8"/>
  <c r="O32" i="8"/>
  <c r="N47" i="8"/>
  <c r="N46" i="8" s="1"/>
  <c r="N45" i="8" s="1"/>
  <c r="O47" i="8"/>
  <c r="O46" i="8" s="1"/>
  <c r="O6" i="8"/>
  <c r="P20" i="8"/>
  <c r="F22" i="8"/>
  <c r="P24" i="8"/>
  <c r="N9" i="8"/>
  <c r="O9" i="8"/>
  <c r="N19" i="8"/>
  <c r="O54" i="8"/>
  <c r="N58" i="8"/>
  <c r="O58" i="8"/>
  <c r="E210" i="1"/>
  <c r="E205" i="1"/>
  <c r="P9" i="8" l="1"/>
  <c r="O19" i="8"/>
  <c r="P46" i="8"/>
  <c r="O53" i="8"/>
  <c r="O52" i="8" s="1"/>
  <c r="O45" i="8"/>
  <c r="P53" i="8"/>
  <c r="P45" i="8"/>
  <c r="P19" i="8"/>
  <c r="P47" i="8"/>
  <c r="O5" i="8"/>
  <c r="N60" i="8"/>
  <c r="P58" i="8"/>
  <c r="N57" i="8"/>
  <c r="N5" i="8"/>
  <c r="O57" i="8"/>
  <c r="O56" i="8" s="1"/>
  <c r="O51" i="8" l="1"/>
  <c r="P60" i="8"/>
  <c r="O60" i="8"/>
  <c r="O74" i="8"/>
  <c r="P5" i="8"/>
  <c r="P57" i="8"/>
  <c r="N56" i="8"/>
  <c r="P56" i="8" l="1"/>
  <c r="N74" i="8"/>
  <c r="N51" i="8"/>
  <c r="P51" i="8" s="1"/>
  <c r="P74" i="8" l="1"/>
  <c r="F58" i="5"/>
  <c r="M119" i="1" l="1"/>
  <c r="L94" i="1" l="1"/>
  <c r="L93" i="1"/>
  <c r="H38" i="5" l="1"/>
  <c r="H21" i="5" s="1"/>
  <c r="H78" i="5" s="1"/>
  <c r="G46" i="5" l="1"/>
  <c r="I46" i="5"/>
  <c r="C6" i="7" l="1"/>
  <c r="E5" i="7"/>
  <c r="E6" i="7" s="1"/>
  <c r="F5" i="7" l="1"/>
  <c r="F6" i="7" s="1"/>
  <c r="D6" i="7"/>
  <c r="F42" i="5" l="1"/>
  <c r="G42" i="5" s="1"/>
  <c r="G45" i="5"/>
  <c r="I45" i="5"/>
  <c r="G13" i="1" l="1"/>
  <c r="M166" i="1" l="1"/>
  <c r="J12" i="4" l="1"/>
  <c r="L91" i="1" l="1"/>
  <c r="L85" i="1"/>
  <c r="L86" i="1"/>
  <c r="L87" i="1"/>
  <c r="L88" i="1"/>
  <c r="L84" i="1"/>
  <c r="L83" i="1"/>
  <c r="N81" i="1"/>
  <c r="L81" i="1"/>
  <c r="O81" i="1"/>
  <c r="N79" i="1"/>
  <c r="O79" i="1"/>
  <c r="L79" i="1"/>
  <c r="N23" i="1" l="1"/>
  <c r="G20" i="1"/>
  <c r="N20" i="1" s="1"/>
  <c r="E27" i="1"/>
  <c r="N27" i="1"/>
  <c r="O27" i="1"/>
  <c r="E26" i="1"/>
  <c r="N26" i="1"/>
  <c r="O26" i="1"/>
  <c r="E25" i="1"/>
  <c r="N25" i="1"/>
  <c r="O25" i="1"/>
  <c r="E24" i="1"/>
  <c r="E23" i="1"/>
  <c r="O23" i="1"/>
  <c r="E22" i="1"/>
  <c r="N22" i="1"/>
  <c r="O22" i="1"/>
  <c r="E21" i="1"/>
  <c r="N21" i="1"/>
  <c r="O21" i="1"/>
  <c r="I60" i="5" l="1"/>
  <c r="G60" i="5"/>
  <c r="I44" i="5" l="1"/>
  <c r="G44" i="5"/>
  <c r="E26" i="5"/>
  <c r="E37" i="5"/>
  <c r="G37" i="5" s="1"/>
  <c r="I37" i="5" l="1"/>
  <c r="G59" i="5"/>
  <c r="I59" i="5"/>
  <c r="I58" i="5"/>
  <c r="G58" i="5"/>
  <c r="F39" i="5" l="1"/>
  <c r="I43" i="5" l="1"/>
  <c r="G43" i="5"/>
  <c r="M125" i="1" l="1"/>
  <c r="F50" i="1" l="1"/>
  <c r="E50" i="1" s="1"/>
  <c r="I41" i="5" l="1"/>
  <c r="G41" i="5"/>
  <c r="O156" i="1" l="1"/>
  <c r="O157" i="1"/>
  <c r="O158" i="1"/>
  <c r="O159" i="1"/>
  <c r="O160" i="1"/>
  <c r="O161" i="1"/>
  <c r="O163" i="1"/>
  <c r="O164" i="1"/>
  <c r="O165" i="1"/>
  <c r="O166" i="1"/>
  <c r="O168" i="1"/>
  <c r="O169" i="1"/>
  <c r="O170" i="1"/>
  <c r="O171" i="1"/>
  <c r="O172" i="1"/>
  <c r="O173" i="1"/>
  <c r="O155" i="1"/>
  <c r="O152" i="1"/>
  <c r="O150" i="1"/>
  <c r="O135" i="1"/>
  <c r="O134" i="1"/>
  <c r="O133" i="1"/>
  <c r="O132" i="1"/>
  <c r="O128" i="1"/>
  <c r="O127" i="1"/>
  <c r="O122" i="1"/>
  <c r="O121" i="1"/>
  <c r="O119" i="1"/>
  <c r="O105" i="1"/>
  <c r="O93" i="1"/>
  <c r="O94" i="1"/>
  <c r="O91" i="1"/>
  <c r="O84" i="1"/>
  <c r="O75" i="1"/>
  <c r="O70" i="1"/>
  <c r="O69" i="1"/>
  <c r="O67" i="1"/>
  <c r="O55" i="1"/>
  <c r="O53" i="1"/>
  <c r="O49" i="1"/>
  <c r="O43" i="1"/>
  <c r="O40" i="1"/>
  <c r="O38" i="1"/>
  <c r="O15" i="1"/>
  <c r="O17" i="1"/>
  <c r="O19" i="1"/>
  <c r="O20" i="1"/>
  <c r="O28" i="1"/>
  <c r="O29" i="1"/>
  <c r="O30" i="1"/>
  <c r="O32" i="1"/>
  <c r="O33" i="1"/>
  <c r="N177" i="1"/>
  <c r="N175" i="1"/>
  <c r="N156" i="1"/>
  <c r="N157" i="1"/>
  <c r="N158" i="1"/>
  <c r="N159" i="1"/>
  <c r="N160" i="1"/>
  <c r="N161" i="1"/>
  <c r="N163" i="1"/>
  <c r="N164" i="1"/>
  <c r="N165" i="1"/>
  <c r="N166" i="1"/>
  <c r="N168" i="1"/>
  <c r="N169" i="1"/>
  <c r="N170" i="1"/>
  <c r="N171" i="1"/>
  <c r="N172" i="1"/>
  <c r="N173" i="1"/>
  <c r="N155" i="1"/>
  <c r="N150" i="1"/>
  <c r="N149" i="1" s="1"/>
  <c r="N141" i="1"/>
  <c r="N134" i="1"/>
  <c r="N133" i="1"/>
  <c r="N132" i="1"/>
  <c r="N127" i="1"/>
  <c r="N122" i="1"/>
  <c r="N121" i="1"/>
  <c r="N119" i="1"/>
  <c r="N118" i="1" s="1"/>
  <c r="N115" i="1"/>
  <c r="N114" i="1" s="1"/>
  <c r="N110" i="1"/>
  <c r="N104" i="1"/>
  <c r="N93" i="1"/>
  <c r="N94" i="1"/>
  <c r="N84" i="1"/>
  <c r="N75" i="1"/>
  <c r="N70" i="1"/>
  <c r="N67" i="1"/>
  <c r="N43" i="1"/>
  <c r="N42" i="1" s="1"/>
  <c r="N41" i="1" s="1"/>
  <c r="N40" i="1"/>
  <c r="N35" i="1"/>
  <c r="N15" i="1"/>
  <c r="P13" i="1"/>
  <c r="P9" i="1" s="1"/>
  <c r="P8" i="1" s="1"/>
  <c r="N18" i="1"/>
  <c r="N19" i="1"/>
  <c r="N28" i="1"/>
  <c r="N29" i="1"/>
  <c r="N30" i="1"/>
  <c r="N32" i="1"/>
  <c r="N33" i="1"/>
  <c r="K177" i="1"/>
  <c r="L177" i="1"/>
  <c r="L174" i="1" s="1"/>
  <c r="M177" i="1"/>
  <c r="K175" i="1"/>
  <c r="L175" i="1"/>
  <c r="M175" i="1"/>
  <c r="K154" i="1"/>
  <c r="K153" i="1" s="1"/>
  <c r="L154" i="1"/>
  <c r="L153" i="1" s="1"/>
  <c r="M154" i="1"/>
  <c r="K151" i="1"/>
  <c r="L151" i="1"/>
  <c r="M151" i="1"/>
  <c r="N151" i="1"/>
  <c r="K149" i="1"/>
  <c r="L149" i="1"/>
  <c r="L148" i="1" s="1"/>
  <c r="M149" i="1"/>
  <c r="K144" i="1"/>
  <c r="L144" i="1"/>
  <c r="L143" i="1" s="1"/>
  <c r="M144" i="1"/>
  <c r="M143" i="1" s="1"/>
  <c r="N143" i="1"/>
  <c r="K141" i="1"/>
  <c r="L141" i="1"/>
  <c r="M141" i="1"/>
  <c r="O141" i="1" s="1"/>
  <c r="K137" i="1"/>
  <c r="K136" i="1" s="1"/>
  <c r="L137" i="1"/>
  <c r="L136" i="1" s="1"/>
  <c r="M137" i="1"/>
  <c r="K131" i="1"/>
  <c r="K130" i="1" s="1"/>
  <c r="K129" i="1" s="1"/>
  <c r="L131" i="1"/>
  <c r="L130" i="1" s="1"/>
  <c r="L129" i="1" s="1"/>
  <c r="M130" i="1"/>
  <c r="K125" i="1"/>
  <c r="K124" i="1" s="1"/>
  <c r="K123" i="1" s="1"/>
  <c r="L125" i="1"/>
  <c r="L124" i="1" s="1"/>
  <c r="L123" i="1" s="1"/>
  <c r="M124" i="1"/>
  <c r="K120" i="1"/>
  <c r="L120" i="1"/>
  <c r="M120" i="1"/>
  <c r="N120" i="1"/>
  <c r="K118" i="1"/>
  <c r="L118" i="1"/>
  <c r="M118" i="1"/>
  <c r="K115" i="1"/>
  <c r="K114" i="1" s="1"/>
  <c r="L115" i="1"/>
  <c r="M115" i="1"/>
  <c r="M114" i="1" s="1"/>
  <c r="K111" i="1"/>
  <c r="L111" i="1"/>
  <c r="M111" i="1"/>
  <c r="N111" i="1"/>
  <c r="K107" i="1"/>
  <c r="K106" i="1" s="1"/>
  <c r="L107" i="1"/>
  <c r="M107" i="1"/>
  <c r="G111" i="1"/>
  <c r="G115" i="1"/>
  <c r="G114" i="1" s="1"/>
  <c r="G118" i="1"/>
  <c r="G120" i="1"/>
  <c r="G125" i="1"/>
  <c r="G124" i="1" s="1"/>
  <c r="G123" i="1" s="1"/>
  <c r="G131" i="1"/>
  <c r="G130" i="1" s="1"/>
  <c r="G129" i="1" s="1"/>
  <c r="L106" i="1"/>
  <c r="K104" i="1"/>
  <c r="L104" i="1"/>
  <c r="M104" i="1"/>
  <c r="K97" i="1"/>
  <c r="K96" i="1" s="1"/>
  <c r="L97" i="1"/>
  <c r="L96" i="1" s="1"/>
  <c r="M97" i="1"/>
  <c r="N97" i="1"/>
  <c r="K90" i="1"/>
  <c r="L90" i="1"/>
  <c r="M90" i="1"/>
  <c r="K82" i="1"/>
  <c r="L82" i="1"/>
  <c r="M82" i="1"/>
  <c r="K77" i="1"/>
  <c r="L77" i="1"/>
  <c r="M77" i="1"/>
  <c r="N77" i="1"/>
  <c r="K72" i="1"/>
  <c r="K71" i="1" s="1"/>
  <c r="L72" i="1"/>
  <c r="L71" i="1" s="1"/>
  <c r="M72" i="1"/>
  <c r="M71" i="1" s="1"/>
  <c r="K68" i="1"/>
  <c r="L68" i="1"/>
  <c r="M68" i="1"/>
  <c r="G60" i="1"/>
  <c r="K60" i="1"/>
  <c r="K54" i="1" s="1"/>
  <c r="L60" i="1"/>
  <c r="L54" i="1" s="1"/>
  <c r="F54" i="1"/>
  <c r="K50" i="1"/>
  <c r="K48" i="1" s="1"/>
  <c r="L50" i="1"/>
  <c r="M50" i="1"/>
  <c r="N50" i="1"/>
  <c r="G50" i="1"/>
  <c r="G48" i="1" s="1"/>
  <c r="F48" i="1"/>
  <c r="K42" i="1"/>
  <c r="K41" i="1" s="1"/>
  <c r="L42" i="1"/>
  <c r="M42" i="1"/>
  <c r="M41" i="1" s="1"/>
  <c r="K39" i="1"/>
  <c r="L39" i="1"/>
  <c r="K37" i="1"/>
  <c r="L37" i="1"/>
  <c r="N37" i="1"/>
  <c r="K35" i="1"/>
  <c r="L35" i="1"/>
  <c r="K13" i="1"/>
  <c r="L13" i="1"/>
  <c r="K10" i="1"/>
  <c r="L10" i="1"/>
  <c r="N33" i="4"/>
  <c r="N30" i="4"/>
  <c r="N28" i="4"/>
  <c r="N26" i="4"/>
  <c r="N20" i="4"/>
  <c r="N21" i="4"/>
  <c r="N19" i="4"/>
  <c r="N17" i="4"/>
  <c r="N13" i="4"/>
  <c r="N14" i="4"/>
  <c r="N11" i="4"/>
  <c r="K9" i="3"/>
  <c r="K8" i="3" s="1"/>
  <c r="K7" i="3" s="1"/>
  <c r="H14" i="3"/>
  <c r="H13" i="3" s="1"/>
  <c r="I14" i="3"/>
  <c r="I13" i="3" s="1"/>
  <c r="J14" i="3"/>
  <c r="C15" i="3"/>
  <c r="H9" i="3"/>
  <c r="H8" i="3" s="1"/>
  <c r="I9" i="3"/>
  <c r="I8" i="3" s="1"/>
  <c r="I7" i="3" s="1"/>
  <c r="J9" i="3"/>
  <c r="J8" i="3" s="1"/>
  <c r="M33" i="4"/>
  <c r="M31" i="4" s="1"/>
  <c r="M30" i="4"/>
  <c r="M29" i="4" s="1"/>
  <c r="M28" i="4"/>
  <c r="M27" i="4" s="1"/>
  <c r="M20" i="4"/>
  <c r="M21" i="4"/>
  <c r="M19" i="4"/>
  <c r="M17" i="4"/>
  <c r="M14" i="4"/>
  <c r="M13" i="4"/>
  <c r="M11" i="4"/>
  <c r="J32" i="4"/>
  <c r="J31" i="4" s="1"/>
  <c r="K32" i="4"/>
  <c r="L32" i="4"/>
  <c r="L31" i="4" s="1"/>
  <c r="K31" i="4"/>
  <c r="J29" i="4"/>
  <c r="K29" i="4"/>
  <c r="L29" i="4"/>
  <c r="J27" i="4"/>
  <c r="K27" i="4"/>
  <c r="L27" i="4"/>
  <c r="J25" i="4"/>
  <c r="K25" i="4"/>
  <c r="L25" i="4"/>
  <c r="M25" i="4"/>
  <c r="J23" i="4"/>
  <c r="K23" i="4"/>
  <c r="K22" i="4" s="1"/>
  <c r="L23" i="4"/>
  <c r="M23" i="4"/>
  <c r="J18" i="4"/>
  <c r="J16" i="4" s="1"/>
  <c r="J15" i="4" s="1"/>
  <c r="K18" i="4"/>
  <c r="K16" i="4" s="1"/>
  <c r="K15" i="4" s="1"/>
  <c r="L18" i="4"/>
  <c r="L16" i="4" s="1"/>
  <c r="L15" i="4" s="1"/>
  <c r="K12" i="4"/>
  <c r="K10" i="4" s="1"/>
  <c r="K9" i="4" s="1"/>
  <c r="L12" i="4"/>
  <c r="N12" i="4" s="1"/>
  <c r="J10" i="4"/>
  <c r="J9" i="4" s="1"/>
  <c r="D24" i="4"/>
  <c r="F23" i="4"/>
  <c r="E23" i="4"/>
  <c r="D26" i="4"/>
  <c r="F25" i="4"/>
  <c r="D25" i="4" s="1"/>
  <c r="E25" i="4"/>
  <c r="F29" i="4"/>
  <c r="E29" i="4"/>
  <c r="N29" i="4" s="1"/>
  <c r="E27" i="4"/>
  <c r="F27" i="4"/>
  <c r="D28" i="4"/>
  <c r="D30" i="4"/>
  <c r="F32" i="4"/>
  <c r="F31" i="4" s="1"/>
  <c r="D31" i="4" s="1"/>
  <c r="D33" i="4"/>
  <c r="E16" i="4"/>
  <c r="E15" i="4" s="1"/>
  <c r="E10" i="4"/>
  <c r="E9" i="4" s="1"/>
  <c r="F18" i="4"/>
  <c r="F16" i="4" s="1"/>
  <c r="F15" i="4" s="1"/>
  <c r="F12" i="4"/>
  <c r="F10" i="4" s="1"/>
  <c r="F9" i="4" s="1"/>
  <c r="R177" i="1" l="1"/>
  <c r="L48" i="1"/>
  <c r="L41" i="1"/>
  <c r="L114" i="1"/>
  <c r="K174" i="1"/>
  <c r="M106" i="1"/>
  <c r="O107" i="1"/>
  <c r="N137" i="1"/>
  <c r="N136" i="1" s="1"/>
  <c r="M136" i="1"/>
  <c r="N39" i="1"/>
  <c r="N96" i="1"/>
  <c r="O111" i="1"/>
  <c r="M129" i="1"/>
  <c r="M153" i="1"/>
  <c r="M123" i="1"/>
  <c r="M48" i="1"/>
  <c r="O50" i="1"/>
  <c r="N48" i="1"/>
  <c r="G54" i="1"/>
  <c r="E60" i="1"/>
  <c r="J13" i="3"/>
  <c r="J32" i="3" s="1"/>
  <c r="L14" i="3"/>
  <c r="D23" i="4"/>
  <c r="D27" i="4"/>
  <c r="N27" i="4"/>
  <c r="L10" i="4"/>
  <c r="L9" i="4" s="1"/>
  <c r="M12" i="4"/>
  <c r="F22" i="4"/>
  <c r="N25" i="4"/>
  <c r="F8" i="4"/>
  <c r="L117" i="1"/>
  <c r="L113" i="1" s="1"/>
  <c r="M96" i="1"/>
  <c r="N82" i="1"/>
  <c r="M174" i="1"/>
  <c r="D29" i="4"/>
  <c r="P7" i="1"/>
  <c r="P224" i="1" s="1"/>
  <c r="N90" i="1"/>
  <c r="N76" i="1" s="1"/>
  <c r="M54" i="1"/>
  <c r="O60" i="1"/>
  <c r="N68" i="1"/>
  <c r="M22" i="4"/>
  <c r="J22" i="4"/>
  <c r="E22" i="4"/>
  <c r="D22" i="4" s="1"/>
  <c r="K14" i="3"/>
  <c r="K13" i="3" s="1"/>
  <c r="K32" i="3" s="1"/>
  <c r="K143" i="1"/>
  <c r="O143" i="1" s="1"/>
  <c r="O144" i="1"/>
  <c r="N154" i="1"/>
  <c r="N153" i="1" s="1"/>
  <c r="L140" i="1"/>
  <c r="L139" i="1" s="1"/>
  <c r="N125" i="1"/>
  <c r="N72" i="1"/>
  <c r="N71" i="1" s="1"/>
  <c r="O77" i="1"/>
  <c r="D32" i="4"/>
  <c r="E8" i="4"/>
  <c r="D16" i="4"/>
  <c r="M16" i="4" s="1"/>
  <c r="M18" i="4"/>
  <c r="N16" i="4"/>
  <c r="N18" i="4"/>
  <c r="D10" i="4"/>
  <c r="M9" i="4" s="1"/>
  <c r="L76" i="1"/>
  <c r="K117" i="1"/>
  <c r="N54" i="1"/>
  <c r="O118" i="1"/>
  <c r="O120" i="1"/>
  <c r="N131" i="1"/>
  <c r="L9" i="1"/>
  <c r="K45" i="1"/>
  <c r="K44" i="1" s="1"/>
  <c r="M103" i="1"/>
  <c r="K103" i="1"/>
  <c r="N148" i="1"/>
  <c r="N107" i="1"/>
  <c r="N106" i="1" s="1"/>
  <c r="N103" i="1" s="1"/>
  <c r="G117" i="1"/>
  <c r="M117" i="1"/>
  <c r="N174" i="1"/>
  <c r="N140" i="1"/>
  <c r="N117" i="1"/>
  <c r="M148" i="1"/>
  <c r="K148" i="1"/>
  <c r="M140" i="1"/>
  <c r="K140" i="1"/>
  <c r="K113" i="1"/>
  <c r="L103" i="1"/>
  <c r="M76" i="1"/>
  <c r="K76" i="1"/>
  <c r="L45" i="1"/>
  <c r="L44" i="1" s="1"/>
  <c r="K9" i="1"/>
  <c r="L22" i="4"/>
  <c r="J8" i="4"/>
  <c r="L8" i="4"/>
  <c r="K8" i="4"/>
  <c r="D9" i="4"/>
  <c r="N9" i="4" s="1"/>
  <c r="D15" i="4"/>
  <c r="N15" i="4" s="1"/>
  <c r="E15" i="1"/>
  <c r="R174" i="1" l="1"/>
  <c r="F7" i="4"/>
  <c r="R7" i="1"/>
  <c r="N130" i="1"/>
  <c r="M113" i="1"/>
  <c r="N124" i="1"/>
  <c r="N45" i="1"/>
  <c r="M45" i="1"/>
  <c r="M44" i="1" s="1"/>
  <c r="M8" i="1" s="1"/>
  <c r="L13" i="3"/>
  <c r="E40" i="4"/>
  <c r="E7" i="4"/>
  <c r="K7" i="4"/>
  <c r="K40" i="4"/>
  <c r="J40" i="4"/>
  <c r="J7" i="4"/>
  <c r="O140" i="1"/>
  <c r="L7" i="4"/>
  <c r="L40" i="4"/>
  <c r="D8" i="4"/>
  <c r="D40" i="4" s="1"/>
  <c r="D44" i="4" s="1"/>
  <c r="N10" i="4"/>
  <c r="F40" i="4"/>
  <c r="K139" i="1"/>
  <c r="M8" i="4"/>
  <c r="M40" i="4" s="1"/>
  <c r="N139" i="1"/>
  <c r="O117" i="1"/>
  <c r="O76" i="1"/>
  <c r="L8" i="1"/>
  <c r="M139" i="1"/>
  <c r="R139" i="1" s="1"/>
  <c r="K8" i="1"/>
  <c r="T7" i="1" l="1"/>
  <c r="D7" i="4"/>
  <c r="R8" i="4"/>
  <c r="N40" i="4"/>
  <c r="N7" i="4" s="1"/>
  <c r="J35" i="3"/>
  <c r="N129" i="1"/>
  <c r="N123" i="1"/>
  <c r="N44" i="1"/>
  <c r="K224" i="1"/>
  <c r="K7" i="1"/>
  <c r="L224" i="1"/>
  <c r="L7" i="1"/>
  <c r="M7" i="4"/>
  <c r="F90" i="1"/>
  <c r="G73" i="5"/>
  <c r="G74" i="5"/>
  <c r="G75" i="5"/>
  <c r="G76" i="5"/>
  <c r="G77" i="5"/>
  <c r="G72" i="5"/>
  <c r="G57" i="5"/>
  <c r="F56" i="5"/>
  <c r="G56" i="5"/>
  <c r="G40" i="5"/>
  <c r="G39" i="5"/>
  <c r="G32" i="5"/>
  <c r="G33" i="5"/>
  <c r="G34" i="5"/>
  <c r="G35" i="5"/>
  <c r="G36" i="5"/>
  <c r="G31" i="5"/>
  <c r="G24" i="5"/>
  <c r="G25" i="5"/>
  <c r="G26" i="5"/>
  <c r="G27" i="5"/>
  <c r="G28" i="5"/>
  <c r="G29" i="5"/>
  <c r="G23" i="5"/>
  <c r="G20" i="5"/>
  <c r="G16" i="5"/>
  <c r="G17" i="5"/>
  <c r="G18" i="5"/>
  <c r="F14" i="5"/>
  <c r="F13" i="5" s="1"/>
  <c r="G15" i="5"/>
  <c r="G9" i="5"/>
  <c r="G10" i="5"/>
  <c r="G11" i="5"/>
  <c r="G12" i="5"/>
  <c r="G8" i="5"/>
  <c r="N113" i="1" l="1"/>
  <c r="G14" i="5"/>
  <c r="G13" i="5" s="1"/>
  <c r="I40" i="5"/>
  <c r="I39" i="5"/>
  <c r="I73" i="5"/>
  <c r="I74" i="5"/>
  <c r="I75" i="5"/>
  <c r="I76" i="5"/>
  <c r="I77" i="5"/>
  <c r="I72" i="5"/>
  <c r="I57" i="5"/>
  <c r="I38" i="5"/>
  <c r="I32" i="5"/>
  <c r="I33" i="5"/>
  <c r="I34" i="5"/>
  <c r="I35" i="5"/>
  <c r="I36" i="5"/>
  <c r="I31" i="5"/>
  <c r="I29" i="5"/>
  <c r="I24" i="5"/>
  <c r="I25" i="5"/>
  <c r="I26" i="5"/>
  <c r="I27" i="5"/>
  <c r="I28" i="5"/>
  <c r="I23" i="5"/>
  <c r="I20" i="5"/>
  <c r="I16" i="5"/>
  <c r="I17" i="5"/>
  <c r="I18" i="5"/>
  <c r="I15" i="5"/>
  <c r="I9" i="5"/>
  <c r="I10" i="5"/>
  <c r="I11" i="5"/>
  <c r="I12" i="5"/>
  <c r="I8" i="5"/>
  <c r="F71" i="5"/>
  <c r="G71" i="5"/>
  <c r="G70" i="5" s="1"/>
  <c r="E71" i="5"/>
  <c r="E70" i="5" s="1"/>
  <c r="E56" i="5"/>
  <c r="I56" i="5" s="1"/>
  <c r="F30" i="5"/>
  <c r="G30" i="5"/>
  <c r="E30" i="5"/>
  <c r="F22" i="5"/>
  <c r="G22" i="5"/>
  <c r="E22" i="5"/>
  <c r="F19" i="5"/>
  <c r="G19" i="5"/>
  <c r="E19" i="5"/>
  <c r="E14" i="5"/>
  <c r="I14" i="5" s="1"/>
  <c r="F7" i="5"/>
  <c r="F6" i="5" s="1"/>
  <c r="G7" i="5"/>
  <c r="G6" i="5" s="1"/>
  <c r="E7" i="5"/>
  <c r="E6" i="5" s="1"/>
  <c r="E21" i="5" l="1"/>
  <c r="E13" i="5"/>
  <c r="I13" i="5" s="1"/>
  <c r="I71" i="5"/>
  <c r="F21" i="5"/>
  <c r="F70" i="5"/>
  <c r="I70" i="5" s="1"/>
  <c r="I22" i="5"/>
  <c r="I19" i="5"/>
  <c r="I30" i="5"/>
  <c r="G21" i="5"/>
  <c r="G78" i="5" s="1"/>
  <c r="I6" i="5"/>
  <c r="I7" i="5"/>
  <c r="E78" i="5"/>
  <c r="G177" i="1"/>
  <c r="G175" i="1"/>
  <c r="F175" i="1"/>
  <c r="G154" i="1"/>
  <c r="G151" i="1"/>
  <c r="O151" i="1" s="1"/>
  <c r="F151" i="1"/>
  <c r="G149" i="1"/>
  <c r="O149" i="1" s="1"/>
  <c r="F149" i="1"/>
  <c r="G144" i="1"/>
  <c r="F144" i="1"/>
  <c r="F143" i="1" s="1"/>
  <c r="G141" i="1"/>
  <c r="F141" i="1"/>
  <c r="G137" i="1"/>
  <c r="F137" i="1"/>
  <c r="F136" i="1" s="1"/>
  <c r="F131" i="1"/>
  <c r="F130" i="1" s="1"/>
  <c r="E126" i="1"/>
  <c r="F125" i="1"/>
  <c r="E125" i="1" s="1"/>
  <c r="F120" i="1"/>
  <c r="E120" i="1" s="1"/>
  <c r="F118" i="1"/>
  <c r="E118" i="1" s="1"/>
  <c r="F115" i="1"/>
  <c r="F114" i="1" s="1"/>
  <c r="F107" i="1"/>
  <c r="F106" i="1" s="1"/>
  <c r="G107" i="1"/>
  <c r="G106" i="1" s="1"/>
  <c r="G104" i="1"/>
  <c r="O104" i="1" s="1"/>
  <c r="F104" i="1"/>
  <c r="G96" i="1"/>
  <c r="G97" i="1"/>
  <c r="F97" i="1"/>
  <c r="F96" i="1" s="1"/>
  <c r="G90" i="1"/>
  <c r="E95" i="1"/>
  <c r="G82" i="1"/>
  <c r="F82" i="1"/>
  <c r="G77" i="1"/>
  <c r="G76" i="1" s="1"/>
  <c r="F77" i="1"/>
  <c r="G72" i="1"/>
  <c r="F72" i="1"/>
  <c r="F71" i="1" s="1"/>
  <c r="G71" i="1"/>
  <c r="G45" i="1"/>
  <c r="E54" i="1"/>
  <c r="E48" i="1"/>
  <c r="O48" i="1" s="1"/>
  <c r="G39" i="1"/>
  <c r="O39" i="1" s="1"/>
  <c r="G37" i="1"/>
  <c r="O37" i="1" s="1"/>
  <c r="G35" i="1"/>
  <c r="G10" i="1"/>
  <c r="F10" i="1"/>
  <c r="E178" i="1"/>
  <c r="E176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55" i="1"/>
  <c r="E152" i="1"/>
  <c r="E150" i="1"/>
  <c r="E146" i="1"/>
  <c r="E147" i="1"/>
  <c r="E145" i="1"/>
  <c r="E142" i="1"/>
  <c r="E138" i="1"/>
  <c r="E134" i="1"/>
  <c r="E135" i="1"/>
  <c r="E128" i="1"/>
  <c r="E127" i="1"/>
  <c r="E122" i="1"/>
  <c r="E121" i="1"/>
  <c r="E119" i="1"/>
  <c r="E116" i="1"/>
  <c r="E112" i="1"/>
  <c r="E110" i="1"/>
  <c r="E109" i="1"/>
  <c r="E105" i="1"/>
  <c r="E99" i="1"/>
  <c r="E100" i="1"/>
  <c r="E101" i="1"/>
  <c r="E102" i="1"/>
  <c r="E98" i="1"/>
  <c r="E92" i="1"/>
  <c r="E93" i="1"/>
  <c r="E94" i="1"/>
  <c r="E91" i="1"/>
  <c r="E84" i="1"/>
  <c r="E85" i="1"/>
  <c r="E86" i="1"/>
  <c r="E87" i="1"/>
  <c r="E88" i="1"/>
  <c r="E89" i="1"/>
  <c r="E83" i="1"/>
  <c r="E79" i="1"/>
  <c r="E80" i="1"/>
  <c r="E81" i="1"/>
  <c r="E78" i="1"/>
  <c r="E74" i="1"/>
  <c r="E75" i="1"/>
  <c r="E73" i="1"/>
  <c r="E70" i="1"/>
  <c r="E69" i="1"/>
  <c r="E67" i="1"/>
  <c r="E62" i="1"/>
  <c r="E63" i="1"/>
  <c r="E65" i="1"/>
  <c r="E66" i="1"/>
  <c r="E61" i="1"/>
  <c r="E53" i="1"/>
  <c r="E52" i="1"/>
  <c r="E51" i="1"/>
  <c r="E47" i="1"/>
  <c r="E46" i="1"/>
  <c r="E43" i="1"/>
  <c r="E40" i="1"/>
  <c r="E38" i="1"/>
  <c r="E36" i="1"/>
  <c r="E34" i="1"/>
  <c r="E33" i="1"/>
  <c r="E32" i="1"/>
  <c r="E31" i="1"/>
  <c r="E30" i="1"/>
  <c r="E29" i="1"/>
  <c r="E28" i="1"/>
  <c r="E20" i="1"/>
  <c r="E19" i="1"/>
  <c r="E18" i="1"/>
  <c r="E17" i="1"/>
  <c r="E16" i="1"/>
  <c r="E14" i="1"/>
  <c r="E12" i="1"/>
  <c r="E11" i="1"/>
  <c r="O54" i="1" l="1"/>
  <c r="E71" i="1"/>
  <c r="F78" i="5"/>
  <c r="M202" i="1" s="1"/>
  <c r="I21" i="5"/>
  <c r="F76" i="1"/>
  <c r="E151" i="1"/>
  <c r="E104" i="1"/>
  <c r="F140" i="1"/>
  <c r="E144" i="1"/>
  <c r="E72" i="1"/>
  <c r="G136" i="1"/>
  <c r="G153" i="1"/>
  <c r="O153" i="1" s="1"/>
  <c r="O154" i="1"/>
  <c r="G174" i="1"/>
  <c r="E82" i="1"/>
  <c r="E137" i="1"/>
  <c r="E141" i="1"/>
  <c r="E149" i="1"/>
  <c r="E106" i="1"/>
  <c r="E10" i="1"/>
  <c r="E107" i="1"/>
  <c r="E115" i="1"/>
  <c r="E136" i="1"/>
  <c r="E175" i="1"/>
  <c r="F117" i="1"/>
  <c r="E131" i="1"/>
  <c r="O131" i="1" s="1"/>
  <c r="E97" i="1"/>
  <c r="E90" i="1"/>
  <c r="E77" i="1"/>
  <c r="G143" i="1"/>
  <c r="D14" i="3"/>
  <c r="D13" i="3" s="1"/>
  <c r="C14" i="3"/>
  <c r="C13" i="3" s="1"/>
  <c r="D9" i="3"/>
  <c r="D8" i="3" s="1"/>
  <c r="D7" i="3" s="1"/>
  <c r="C9" i="3"/>
  <c r="C8" i="3" s="1"/>
  <c r="F177" i="1"/>
  <c r="F174" i="1" s="1"/>
  <c r="F154" i="1"/>
  <c r="F153" i="1" s="1"/>
  <c r="F124" i="1"/>
  <c r="F123" i="1" s="1"/>
  <c r="E114" i="1"/>
  <c r="F111" i="1"/>
  <c r="F103" i="1" s="1"/>
  <c r="G103" i="1"/>
  <c r="F68" i="1"/>
  <c r="G68" i="1"/>
  <c r="O68" i="1" s="1"/>
  <c r="E68" i="1"/>
  <c r="F45" i="1"/>
  <c r="F42" i="1"/>
  <c r="G42" i="1"/>
  <c r="F39" i="1"/>
  <c r="E39" i="1" s="1"/>
  <c r="F37" i="1"/>
  <c r="E37" i="1" s="1"/>
  <c r="F35" i="1"/>
  <c r="E35" i="1" s="1"/>
  <c r="F13" i="1"/>
  <c r="E13" i="1" s="1"/>
  <c r="D34" i="3" l="1"/>
  <c r="D32" i="3"/>
  <c r="C32" i="3"/>
  <c r="L32" i="3" s="1"/>
  <c r="O106" i="1"/>
  <c r="R9" i="1"/>
  <c r="M7" i="1"/>
  <c r="M224" i="1"/>
  <c r="E153" i="1"/>
  <c r="E76" i="1"/>
  <c r="N202" i="1"/>
  <c r="N7" i="1" s="1"/>
  <c r="C7" i="3"/>
  <c r="I78" i="5"/>
  <c r="O202" i="1"/>
  <c r="G41" i="1"/>
  <c r="O41" i="1" s="1"/>
  <c r="O42" i="1"/>
  <c r="E103" i="1"/>
  <c r="G9" i="1"/>
  <c r="G113" i="1"/>
  <c r="E174" i="1"/>
  <c r="E154" i="1"/>
  <c r="E177" i="1"/>
  <c r="F9" i="1"/>
  <c r="E111" i="1"/>
  <c r="G140" i="1"/>
  <c r="E143" i="1"/>
  <c r="F129" i="1"/>
  <c r="E129" i="1" s="1"/>
  <c r="O129" i="1" s="1"/>
  <c r="E130" i="1"/>
  <c r="O130" i="1" s="1"/>
  <c r="E124" i="1"/>
  <c r="E96" i="1"/>
  <c r="F41" i="1"/>
  <c r="E42" i="1"/>
  <c r="E45" i="1"/>
  <c r="F148" i="1"/>
  <c r="F139" i="1" s="1"/>
  <c r="E117" i="1"/>
  <c r="G148" i="1"/>
  <c r="O148" i="1" s="1"/>
  <c r="F44" i="1"/>
  <c r="G44" i="1"/>
  <c r="R202" i="1" l="1"/>
  <c r="O224" i="1"/>
  <c r="O124" i="1"/>
  <c r="E9" i="1"/>
  <c r="C37" i="3"/>
  <c r="O103" i="1"/>
  <c r="O45" i="1"/>
  <c r="G8" i="1"/>
  <c r="F113" i="1"/>
  <c r="E44" i="1"/>
  <c r="E148" i="1"/>
  <c r="E123" i="1"/>
  <c r="O123" i="1" s="1"/>
  <c r="G139" i="1"/>
  <c r="E140" i="1"/>
  <c r="F8" i="1"/>
  <c r="E139" i="1" l="1"/>
  <c r="O139" i="1" s="1"/>
  <c r="G7" i="1"/>
  <c r="O44" i="1"/>
  <c r="S9" i="1"/>
  <c r="G224" i="1"/>
  <c r="F224" i="1"/>
  <c r="F7" i="1"/>
  <c r="E113" i="1"/>
  <c r="O113" i="1" s="1"/>
  <c r="E8" i="1"/>
  <c r="E224" i="1" l="1"/>
  <c r="U7" i="1"/>
  <c r="S7" i="1"/>
  <c r="E7" i="1"/>
  <c r="O7" i="1" s="1"/>
  <c r="O9" i="1"/>
  <c r="O13" i="1"/>
  <c r="O8" i="1"/>
  <c r="S98" i="1"/>
  <c r="O14" i="1"/>
  <c r="N14" i="1"/>
  <c r="N13" i="1" s="1"/>
  <c r="N9" i="1" l="1"/>
  <c r="N8" i="1" l="1"/>
  <c r="N224" i="1" l="1"/>
  <c r="R224" i="1" s="1"/>
</calcChain>
</file>

<file path=xl/sharedStrings.xml><?xml version="1.0" encoding="utf-8"?>
<sst xmlns="http://schemas.openxmlformats.org/spreadsheetml/2006/main" count="1214" uniqueCount="644">
  <si>
    <t>โครงการ/กิจกรรม</t>
  </si>
  <si>
    <t>งบประมาณที่ได้รับจัดสรร (บาท)</t>
  </si>
  <si>
    <t>หน่วยงาน
ดำเนินการ</t>
  </si>
  <si>
    <t>รวม</t>
  </si>
  <si>
    <t>งบลงทุน</t>
  </si>
  <si>
    <t>งบดำเนินงาน</t>
  </si>
  <si>
    <t>งบพัฒนาจังหวัดอ่างทอง ประจำปีงบประมาณ พ.ศ.2561</t>
  </si>
  <si>
    <t>ประเด็นยุทธศาสตร์ที่ 1 พัฒนาเมืองน่าอยู่ สู่สังคมมั่นคง และเป็นสุข</t>
  </si>
  <si>
    <t>ตำรวจภูธรจังหวัด</t>
  </si>
  <si>
    <t>ที่ทำการปกครองจังหวัด</t>
  </si>
  <si>
    <t>สถานพินิจและคุ้มครองเด็กและเยาวชนจังหวัด</t>
  </si>
  <si>
    <t>ศอ.ปส.จังหวัด</t>
  </si>
  <si>
    <t>สนง.จัดหางานจังหวัด</t>
  </si>
  <si>
    <t>สนง.ประกันสังคม
จังหวัด</t>
  </si>
  <si>
    <t>สนง.เกษตรและสหกรณ์จังหวัด</t>
  </si>
  <si>
    <t xml:space="preserve"> - อาคารเก็บผลิตภัณฑ์</t>
  </si>
  <si>
    <t xml:space="preserve"> - ต่อเติมอาคารโรงสีข้าว</t>
  </si>
  <si>
    <t xml:space="preserve"> - ลานอเนประสงค์</t>
  </si>
  <si>
    <t xml:space="preserve"> - ก่อสร้างศาลาดอกเห็ด</t>
  </si>
  <si>
    <t xml:space="preserve"> - แพลอยน้ำ</t>
  </si>
  <si>
    <t xml:space="preserve"> - ถังแชมเปญ</t>
  </si>
  <si>
    <t>สนง.ประมงจังหวัด</t>
  </si>
  <si>
    <t>สนง.พัฒนาชุมชนจังหวัด</t>
  </si>
  <si>
    <t>สนง.สาธารณสุขจังหวัด</t>
  </si>
  <si>
    <t>อำเภอไชโย</t>
  </si>
  <si>
    <t>อำเภอเมืองอ่างทอง</t>
  </si>
  <si>
    <t>อำเภอวิเศษชัยชาญ</t>
  </si>
  <si>
    <t>อำเภอแสวงหา</t>
  </si>
  <si>
    <t>อำเภอโพธิ์ทอง</t>
  </si>
  <si>
    <t>โครงการชลประทานอ่างทอง</t>
  </si>
  <si>
    <t xml:space="preserve"> - ระบบบำบัดน้ำเสีย</t>
  </si>
  <si>
    <t>สนง.โยธาธิการและผังเมืองจังหวัด</t>
  </si>
  <si>
    <t>ประเด็นยุทธศาสตร์ที่ 2 พัฒนาผลิตภัณฑ์สู่มาตรฐานสากล</t>
  </si>
  <si>
    <t>1. โครงการวิจัยและพัฒนา (R&amp;D) กรอบแนวคิดและการสร้างองค์ความรู้</t>
  </si>
  <si>
    <t>1.1 สร้างองค์ความรู้ทางเทคโนโลยี และนวัตกรรมแก่เกษตรกร/ผู้ประกอบการตามหลักวิชาการ</t>
  </si>
  <si>
    <t>1.1.1 พัฒนาศักยภาพผู้ประกอบอาหารรองรับครัวไทยสู่ครัวโลก</t>
  </si>
  <si>
    <t>2. โครงการพัฒนาศักยภาพและเพิ่มขีดความสามารถให้แก่เกษตรกร/ผู้ประกอบการ</t>
  </si>
  <si>
    <t>2.1 พัฒนาศักยภาพของเกษตรกร</t>
  </si>
  <si>
    <t>2.1.1 พัฒนาศักยภาพเกษตรต้นแบบ (Smart farmer / อกม เกษตรกรและเจ้าหน้าที่)</t>
  </si>
  <si>
    <t>สนง.เกษตรจังหวัด</t>
  </si>
  <si>
    <t>2.2 พัฒนาศักยภาพของผู้ประกอบการ</t>
  </si>
  <si>
    <t>2.2.1 ยกระดับผลิตภัณฑ์ชุมชนสู่มาตราฐานสากล</t>
  </si>
  <si>
    <t>2.2.2 จัดแสดงและจำหน่ายสินค้าหนึ่งตำบลหนึ่งผลิตภัณฑ์ (OTOP Angthong to Asean)</t>
  </si>
  <si>
    <t>3. โครงการส่งเสริมและสนับสนุนการผลิตอาหารปลอดภัยและผลิตภัณฑ์ชุมชน</t>
  </si>
  <si>
    <t>3.1 พัฒนากระบวนการผลิตและแปรรูปสินค้าเกษตรให้ได้มาตรฐาน</t>
  </si>
  <si>
    <t xml:space="preserve"> - โรงเรือนคัดบรรจุผลผลิต</t>
  </si>
  <si>
    <t>4. โครงการยกระดับมาตรฐานผลิตภัณฑ์</t>
  </si>
  <si>
    <t xml:space="preserve">4.1พัฒนาผลิตภัณฑ์ชุมชนและท้องถิ่นสู่มาตรฐานสากล   </t>
  </si>
  <si>
    <t>4.1.1 ส่งเสริมการผลิตอาหารปลอดภัย (การผลิตผักในโรงเรือนระบบปิด) โครงการต่อเนื่อง</t>
  </si>
  <si>
    <t>4.1.2 ปรับโครงสร้างระบบการผลิตสินค้าเกษตรในพื้นที่แปลงใหญ่ (ข้าว, มะม่วง)</t>
  </si>
  <si>
    <t>4.1.3 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</si>
  <si>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สนง.อุตสาหกรรมจังหวัด</t>
  </si>
  <si>
    <t>5. โครงการส่งเสริมการตลาดเชิงรุก</t>
  </si>
  <si>
    <t>สนง.พาณิชย์จังหวัด</t>
  </si>
  <si>
    <t>ประเด็นยุทธศาสตร์ที่ 3 ส่งเสริมการท่องเที่ยวเชิงวัฒนธรรม</t>
  </si>
  <si>
    <t>1 โครงการพัฒนาปัจจัยพื้นฐานด้านการท่องเที่ยวและบริการ</t>
  </si>
  <si>
    <t>1.1 พัฒนาปัจจัยสับสนุนภาคการท่องเที่ยวและบริการ</t>
  </si>
  <si>
    <t>สนง.การท่องเที่ยว
และกีฬาจังหวัด</t>
  </si>
  <si>
    <t>1.2 พัฒนา/ ปรับปรุง/ อนุรักษ์/ ฟื้นฟู แหล่งท่องเที่ยว</t>
  </si>
  <si>
    <t xml:space="preserve"> - ปรับปรุงป้ายประชาสัมพันธ์</t>
  </si>
  <si>
    <t>1.2.2 พัฒนา ปรับปรุง ฟื้นฟู แหล่งท่องเที่ยว</t>
  </si>
  <si>
    <t>2. โครงการพัฒนาระบบบริหารจัดการและการมีส่วนร่วมด้านการท่องเที่ยว</t>
  </si>
  <si>
    <t>2.1 เสริมสร้างการมีส่วนร่วมในการดูแลรักษาแหล่งท่องเที่ยว</t>
  </si>
  <si>
    <t>2.1.1 เสริมสร้างการมีส่วนร่วมในการดูแลรักษาแหล่งท่องเที่ยว</t>
  </si>
  <si>
    <t xml:space="preserve">2.2 พัฒนาระบบสารสนเทศด้านการท่องเที่ยว </t>
  </si>
  <si>
    <t>2.2.1 พัฒนาระบบสารสนเทศด้านการท่องเที่ยว</t>
  </si>
  <si>
    <t>3. โครงการส่งเสริมกิจกรรมการท่องเที่ยว</t>
  </si>
  <si>
    <t>3.1 จัดกิจกรรมและพัฒนาผลิตภัณฑ์เพื่อส่งเสริมการท่องเที่ยวเชิงวัฒนธรรม</t>
  </si>
  <si>
    <t>3.1.1 สืบสานศิลปะการแสดงพื้นบ้าน "โขนสด"</t>
  </si>
  <si>
    <t>สนง.วัฒนธรรมจังหวัด</t>
  </si>
  <si>
    <t>3.1.2 ถ่ายทอดศิลปะ การแสดงละครชาตรี</t>
  </si>
  <si>
    <t xml:space="preserve">3.1.5 งานรำลึกสมเด็จพระนเรศวรมหาราช  </t>
  </si>
  <si>
    <t xml:space="preserve">3.1.6 งานรำลึกวีรชนแขวงเมืองวิเศษไชยชาญ </t>
  </si>
  <si>
    <t xml:space="preserve">3.1.7 งานสดุดีวีรชนคนแสวงหา </t>
  </si>
  <si>
    <t xml:space="preserve">3.1.9 งานสดุดีวีรชนพันท้ายนรสิงห์ </t>
  </si>
  <si>
    <t xml:space="preserve">3.1.12 งานแข่งขันเรือพาย </t>
  </si>
  <si>
    <t xml:space="preserve">3.1.13 งานเกษตรและของดีเมืองอ่างทอง </t>
  </si>
  <si>
    <t>3.1.14 งานมหกรรมลิเก</t>
  </si>
  <si>
    <t>3.1.15 งานมหกรรมกลองนานาชาติ</t>
  </si>
  <si>
    <t>3.1.16 งานเทศกาลไหว้พระนอนวัดขุนอินทประมูล</t>
  </si>
  <si>
    <t>3.1.17 งานรำลึกประพาสต้นล้นเกล้า รัชกาลที่ 5</t>
  </si>
  <si>
    <t>3.1.18 งานรำลึกรัชกาลที่ 9</t>
  </si>
  <si>
    <t>ค่าใช้จ่ายในการบริหารงานจังหวัด/กลุ่มจังหวัดแบบบูรณาการ</t>
  </si>
  <si>
    <t>รวมทั้งสิ้น</t>
  </si>
  <si>
    <t>3.1.8 งานรำลึกวีรชนคนถูกลืม ขุนรองปลัดชู</t>
  </si>
  <si>
    <t>3.1.3 งานอนุรักษ์มรดกไทย เฉลิมพระเกียรติสมเด็จพระเทพรัตนราชสุดาฯ สยามบรมราชกุมารี</t>
  </si>
  <si>
    <t>3.1.4 งานรำลึกสมเด็จพระพุฒาจารย์ (โต พรหมรังสี)</t>
  </si>
  <si>
    <t>3.1.10 งานเทศกาลกินผัดไทย ไหว้พระสมเด็จเกษไชโย</t>
  </si>
  <si>
    <t>สนง.ทรัพยากร
ธรรมชาติและสิ่งแวดล้อมจังหวัด</t>
  </si>
  <si>
    <t>ที่</t>
  </si>
  <si>
    <t>โครงการ</t>
  </si>
  <si>
    <t>หน่วยดำเนินงาน</t>
  </si>
  <si>
    <t>แนวทางที่ 2 เกษตร</t>
  </si>
  <si>
    <t>ด้าน : เกษตรแปลงใหญ่</t>
  </si>
  <si>
    <t>โครงสร้างพื้นฐานเพื่อสนับสนุนการผลิต</t>
  </si>
  <si>
    <t>โครงการแก้มลิงคลองบ้านใหม่</t>
  </si>
  <si>
    <t xml:space="preserve">แนวทางที่ 4.1 สังคม คุณภาพชีวิต </t>
  </si>
  <si>
    <t>ด้าน : การพัฒนาโครงสร้างพื้นฐานเพื่อความมั่นคงในชีวิต</t>
  </si>
  <si>
    <t xml:space="preserve"> พัฒนาคุณภาพชีวิตด้านสาธารณสุขแก่ผู้สูงอายุ จังหวัดอ่างทอง</t>
  </si>
  <si>
    <t>สำนักงานสาธารณสุขจังหวัดอ่างทอง</t>
  </si>
  <si>
    <t xml:space="preserve"> - เตียงผู้ป่วยปรับระดับได้ จำนวน 166 เตียง</t>
  </si>
  <si>
    <t xml:space="preserve"> - รถเข็นนั่ง จำนวน 830 คัน</t>
  </si>
  <si>
    <t>งบประมาณรวม</t>
  </si>
  <si>
    <t>ชื่อโครงการ/กิจกรรม</t>
  </si>
  <si>
    <t>ประเด็นยุทธศาสตร์ที่ 1 พัฒนาการตลาด ระบบ Logistics และการผลิตอาหารปลอดภัย</t>
  </si>
  <si>
    <t>สำนักงานพลังงาน
จังหวัดอ่างทอง</t>
  </si>
  <si>
    <t>โครงการส่งเสริมพลังงานทดแทนและการอนุรักษ์พลังงานแก่ชุมชน OTOP/วิสาหกิจชุมชน/กลุ่มเกษตรกร</t>
  </si>
  <si>
    <t>โครงการพัฒนาแหล่งท่องเที่ยววิถีไทยลุ่มเจ้าพระยา-ป่าสัก</t>
  </si>
  <si>
    <t>โครงการพัฒนาเศรษฐกิจสร้างสรรค์เพื่อเพิ่มมูลค่าด้านการท่องเที่ยว</t>
  </si>
  <si>
    <t>ประเด็นยุทธศาสตร์ที่ 3 การบริหารจัดการน้ำแบบบูรณาการ</t>
  </si>
  <si>
    <t>โครงการป้องกันแก้ไขปัญหาคุณภาพน้ำในแม่น้ำสายหลัก</t>
  </si>
  <si>
    <t>สนง.การท่องเที่ยวและกีฬาจังหวัด</t>
  </si>
  <si>
    <t>1 โครงการเสริมสร้างความปลอดภัยในชีวิตและทรัพย์สิน</t>
  </si>
  <si>
    <t>1.1 รักษาความมั่นคงภายใน</t>
  </si>
  <si>
    <t>1.2 ป้องกันและแก้ไขปัญหายาเสพติด</t>
  </si>
  <si>
    <t>1.2.1 No Place For Drug</t>
  </si>
  <si>
    <t>1.2.3 ค่ายพัฒนาคุณธรรม</t>
  </si>
  <si>
    <t>1.2.4 ค่ายทักษะชีวิต</t>
  </si>
  <si>
    <t>1.2.5 ประกวดแข่งขัน To Be Number One</t>
  </si>
  <si>
    <t>1.2.6 มหกรรมรวมพลสมาชิกชมรม To Be Number One จังหวัดอ่างทอง</t>
  </si>
  <si>
    <t>1.2.7 ขับเคลื่อนชมรม To Be Number One</t>
  </si>
  <si>
    <t>1.2.9 ค่ายปรับเปลี่ยนพฤติกรรม (ศูนย์ขวัญแผ่นดิน)</t>
  </si>
  <si>
    <t>1.2.12 พัฒนาศักยภาพด้านการบำบัดรักษาและฟื้นฟูสมรรถภาพและติดตามผู้ผ่านการบำบัดรักษา</t>
  </si>
  <si>
    <t>1.2.11 ป้องกันและแก้ไขปัญหายาเสพติดในสถานประกอบการ</t>
  </si>
  <si>
    <t>1.3 ป้องกันและแก้ไขปัญหาอาชญกรรม</t>
  </si>
  <si>
    <t>1.4 ป้องกันและแก้ไขปัญหาอุบัติเหตุจราจร</t>
  </si>
  <si>
    <t>1.5 ป้องกันและแก้ไขปัญหาการค้ามนุษย์</t>
  </si>
  <si>
    <t>1.3.1 พัฒนาศักยภาพอาสาสมัครตำรวจบ้าน</t>
  </si>
  <si>
    <t>1.4.1 พัฒนาศักยภาพอาสาสมัครจราจร</t>
  </si>
  <si>
    <t>1.5.1 จัดระเบียบสังคม</t>
  </si>
  <si>
    <t>2 โครงการส่งเสริมความเข้มแข็งของครอบครัว และชุมชน</t>
  </si>
  <si>
    <t>2.1ส่งเสริมและพัฒนาศักยภาพเด็กเยาวชน สตรี ผู้สูงอายุ และคนพิการ</t>
  </si>
  <si>
    <t>2.1.1 ส่งเสริมการประกอบอาชีพแก่ผู้สูงอายุ</t>
  </si>
  <si>
    <t>3 โครงการส่งเสริมอาชีพ สร้างโอกาส สร้างรายได้ ของประชาชน</t>
  </si>
  <si>
    <t>3.1 ส่งเสริมคุณภาพชีวิตตามแนวพระราชดำริ</t>
  </si>
  <si>
    <t>3.1.1 ขยายความคุ้มครองหลักประกันสังคมและส่งเสริมด้านอาชีวอนามัยและความปลอดภัยในการทำงานแก่แรงงานนอกระบบ</t>
  </si>
  <si>
    <t>3.1.2 พัฒนาทักษะและฝึกทักษะและฝึกอบรมด้านอาชีพให้แก่ประชาชน จำนวน 100 คน</t>
  </si>
  <si>
    <t>3.2 พอเพียงเพื่อพ่อ</t>
  </si>
  <si>
    <t>3.1.6 ส่งเสริมการเลี้ยงปลาสวยงามตามรอยเท้าพ่อ</t>
  </si>
  <si>
    <t>3.2.1 ขยายผลการพัฒนาหมู่บ้านเศรษฐกิจพอเพียง</t>
  </si>
  <si>
    <t>4 โครงการส่งเสริมการมีสุขภาวะที่ดีของประชาชน</t>
  </si>
  <si>
    <t>4.1 ส่งเสริมสุขภาพและอนามัยของประชาชน</t>
  </si>
  <si>
    <t>4.1.1 ส่งเสริมพัฒนาคุณภาพชีวิตที่ดีให้แก่แรงงานนอกระบบ (กลุ่มแรงงานภาคเกษตรและผู้รับงานไปทำที่บ้าน)</t>
  </si>
  <si>
    <t>4.1.2 ส่งเสริมการมีสุขภาวะที่ดีของประชาชน</t>
  </si>
  <si>
    <t>4.1.3 พัฒนาสุขาภิบาลอาหาร</t>
  </si>
  <si>
    <t>5 โครงการปรับปรุงและพัฒนาโครงสร้างพื้นฐาน</t>
  </si>
  <si>
    <t xml:space="preserve">5.1 ก่อสร้างและปรับปรุงเส้นทางคมนาคม </t>
  </si>
  <si>
    <t>5.2 ก่อสร้างและปรับปรุงระบบสาธารณูปโภคขั้นพื้นฐาน (ไฟฟ้า,ประปา)</t>
  </si>
  <si>
    <t>5.3 ก่อสร้างและปรับปรุงสะพาน</t>
  </si>
  <si>
    <t>6  โครงการบริหารจัดการน้ำแบบบูรณาการ</t>
  </si>
  <si>
    <t>6.1 พัฒนาและปรับปรุงแหล่งน้ำ</t>
  </si>
  <si>
    <t>6.1.4 ปรับปรุงห้วยงู พร้อมอาคารประกอบ ตำบลป่างิ้ว อำเภอเมืองอ่างทอง จังหวัดอ่างทอง</t>
  </si>
  <si>
    <t>7. โครงการรักษาสมดุลธรรมชาติสิ่งแวดล้อมและพลังงาน</t>
  </si>
  <si>
    <t>7.1 บริหารจัดการขยะและของเสียอันตรายอย่างมีส่วนร่วม</t>
  </si>
  <si>
    <t>7.2 ป้องกันและแก้ไขปัญหาคุณภาพน้ำในแหล่งน้ำธรรมชาติ</t>
  </si>
  <si>
    <t>7.1.1 หนึ่งองค์กรปกครองส่วนท้องถิ่น หนึ่งธนาคารขยะ</t>
  </si>
  <si>
    <t>7.2.1 ป้องกันและแก้ไขปัญหาคุณภาพแม่น้ำเจ้าพระยาและแม่น้ำน้อย</t>
  </si>
  <si>
    <t>7.2.2 พัฒนาระบบนิเวศทางน้ำสร้างความสมดุลคืนสู่ชุมชนอย่างยั่งยืน</t>
  </si>
  <si>
    <t>7.3 อ่างทองเมืองสีเขียว</t>
  </si>
  <si>
    <t>3.1.1 ส่งเสริมและสนับสนุนการผลิตพืชปลอดภัยจากสารพิษ (มะม่วง กล้วยหอมทอง เมล่อน และผัก)</t>
  </si>
  <si>
    <t>5.1 เชื่อมโยงตลาดและสร้างเครือข่ายการค้าทั้งในระดับประเทศและต่างประเทศ</t>
  </si>
  <si>
    <t>5.1.1 จัดแสดงและจำหน่ายสินค้าในประเทศ in store promotion/business matching ในต่างจังหวัด</t>
  </si>
  <si>
    <t xml:space="preserve">3.1.11 งานมหกรรมกินกุ้งใหญ่ กินไข่นกกระทา กินผักปลาปลอดสารพิษ  </t>
  </si>
  <si>
    <t>4. โครงการส่งเสริมการประชาสัมพันธ์เชิงรุกด้านการท่องเที่ยว</t>
  </si>
  <si>
    <t>4.1 จัดทำสื่อประชาสัมพันธ์เชิงรุก</t>
  </si>
  <si>
    <t>4.1.1 จัดทำสื่อประชาสัมพันธ์เชิงรุก</t>
  </si>
  <si>
    <t>4.2 ส่งเสริมกิจกรรมไหว้พระ 5 ที่สุด และของดีเมืองอ่างทอง</t>
  </si>
  <si>
    <t>2.1 สนับสนุนเทคโนโลยีพลังงานทดแทนและอนุรักษ์พลังงานในกระบวนการผลิต</t>
  </si>
  <si>
    <t>บัญชีโครงการพัฒนาจังหวัด</t>
  </si>
  <si>
    <t xml:space="preserve">ที่ได้รับจัดสรรงบประมาณ ประจำปีงบประมาณ พ.ศ. 2561  </t>
  </si>
  <si>
    <t>บัญชีโครงการพัฒนาภาค แผนงานบูรณาการเสริมสร้างความเข้มแข็งและยั่งยืนให้กับเศรษฐกิจภายในประเทศ</t>
  </si>
  <si>
    <t>ที่ได้รับจัดสรรงบประมาณ ประจำปีงบประมาณ พ.ศ. 2561</t>
  </si>
  <si>
    <t>บัญชีโครงการพัฒนากลุ่มจังหวัด</t>
  </si>
  <si>
    <t>อำเภอป่าโมก</t>
  </si>
  <si>
    <t xml:space="preserve"> อำเภอไชโย</t>
  </si>
  <si>
    <t>สำนักงานประมงจังหวัด</t>
  </si>
  <si>
    <t xml:space="preserve"> - อำเภอสามโก้
 - อำเภอป่าโมก</t>
  </si>
  <si>
    <t xml:space="preserve">  - งบดำเนินงาน</t>
  </si>
  <si>
    <t xml:space="preserve"> - งบดำเนินงาน</t>
  </si>
  <si>
    <t>สถานะโครงการ</t>
  </si>
  <si>
    <t>สัญญา เริ่มต้น-สิ้นสุด</t>
  </si>
  <si>
    <t>วงเงินในสัญญาจ้าง</t>
  </si>
  <si>
    <t>เหลือจ่ายจากการก่อหนี้ผูกพัน</t>
  </si>
  <si>
    <t>ผลการดำเนินงาน</t>
  </si>
  <si>
    <t>ผลการเบิกจ่าย</t>
  </si>
  <si>
    <t>เบิกจ่าย
(บาท)</t>
  </si>
  <si>
    <t>คงเหลือ
(บาท)</t>
  </si>
  <si>
    <t>ร้อยละ</t>
  </si>
  <si>
    <t>5.2.6 ก่อสร้างระบบประปาหมู่บ้านแบบบาดาลขนาดใหญ่  หมู่ที่ 1 ตำบลรำมะสัก อำเภอโพธิ์ทอง จังหวัดอ่างทอง</t>
  </si>
  <si>
    <t>5.2.7 ก่อสร้างระบบประปาหมู่บ้านแบบบาดาลขนาดใหญ่ หมู่ที่ 8 ตำบลบ้านพราน อำเภอแสวงหา จังหวัดอ่างทอง</t>
  </si>
  <si>
    <t>5.3.1 ก่อสร้างสะพานคอนกรีตเสริมเหล็ก หมู่ที่ 5 
ตำบลชัยฤทธิ์ อำเภอไชโย จังหวัดอ่างทอง</t>
  </si>
  <si>
    <t>5.3.2 ก่อสร้างสะพานคอนกรีตเสริมเหล็ก หมู่ที่ 7 
ตำบลราชสถิตย์ อำเภอไชโย จังหวัดอ่างทอง</t>
  </si>
  <si>
    <t>5.3.3 ก่อสร้างสะพานคอนกรีตเสริมเหล็ก หมู่ที่ 2 
ตำบลรำมะสัก อำเภอโพธิ์ทอง จังหวัดอ่างทอง</t>
  </si>
  <si>
    <t>5.3.4 ก่อสร้างสะพานคอนกรีตเสริมเหล็ก หมู่ที่ 10 
ตำบลรำมะสัก อำเภอโพธิ์ทอง จังหวัดอ่างทอง</t>
  </si>
  <si>
    <t>5.3.5 ก่อสร้างสะพานคอนกรีตเสริมเหล็ก หมู่ที่ 4 
ตำบลจำลอง อำเภอแสวงหา จังหวัดอ่างทอง</t>
  </si>
  <si>
    <t>6.1.1 ปรับปรุงคลองลาดม้า พร้อมอาคารประกอบ 
ตำบลศาลาแดง อำเภอเมืองอ่างทอง จังหวัดอ่างทอง</t>
  </si>
  <si>
    <t>6.1.2 ปรับปรุงหนองลาดตะเพียน พร้อมอาคารประกอบ ตำบลป่างิ้ว อำเภอเมืองอ่างทอง จังหวัดอ่างทอง</t>
  </si>
  <si>
    <t>6.1.3 ปรับปรุงหนองเกาะ พร้อมอาคารประกอบ 
ตำบลป่างิ้ว อำเภอเมืองอ่างทอง จังหวัดอ่างทอง</t>
  </si>
  <si>
    <t>6.1.5 ปรับปรุงหนองเบิกไพร พร้อมอาคารประกอบ 
ตำบลไผ่ดำพัฒนา อำเภอวิเศษชัยชาญ จังหวัดอ่างทอง</t>
  </si>
  <si>
    <t>โครงการเสริมสร้างศักยภาพบุคลากรและองค์กรด้านการท่องเที่ยวกลุ่มจังหวัด เพื่อสร้างมูลค่าเพิ่ม</t>
  </si>
  <si>
    <t>โครงการเพิ่มประสิทธิภาพการบริหารจัดการยุทธศาสตร์การพัฒนาจังหวัดแบบบูรณาการจังหวัดอ่างทอง</t>
  </si>
  <si>
    <t>ประจำปีงบประมาณ 2561 งบประมาณ 8 ล้านบาท</t>
  </si>
  <si>
    <r>
      <rPr>
        <b/>
        <sz val="16"/>
        <rFont val="TH SarabunPSK"/>
        <family val="2"/>
      </rPr>
      <t>1. การจัดประชุมหารือเพื่อจัดทำแผนการพัฒนาจังหวัด และกลุ่มจังหวัดกับภาคส่วนต่าง ๆ ตามมาตรา 53/1 และมาตรา 53/2 แห่งพระราชบัญญัติระเบียบบริหารราชการแผ่นดิน พ.ศ. 2534 และที่แก้ไขเพิ่มเติม</t>
    </r>
    <r>
      <rPr>
        <b/>
        <u/>
        <sz val="16"/>
        <rFont val="TH SarabunPSK"/>
        <family val="2"/>
      </rPr>
      <t xml:space="preserve">
</t>
    </r>
  </si>
  <si>
    <t>1.1 กิจกรรมบริหารจัดการแผนพัฒนาจังหวัดอ่างทอง ประจำปีงบประมาณ พ.ศ. 2561</t>
  </si>
  <si>
    <t>(3) ดำเนินงานตามตัวชี้วัดคำรับรองปฏิบัติราชการ</t>
  </si>
  <si>
    <t>(4) ค่าวัสดุสำนักงาน ค่าวิทยากรค่าอาหารจัดประชุม ค่าจ้างเหมาจัดทำเอกสาร และงานอำนวยการแผนพัฒนาจังหวัด</t>
  </si>
  <si>
    <t>(5) ค่าเดินทางไปราชการ/ค่าอาหารปฏิบัติงานล่วงเวลา</t>
  </si>
  <si>
    <t>2.1 กิจกรรมอำนวยการประชุมคณะกรรมการบริหารงานจังหวัดแบบบูรณาการ (ก.บ.จ.) คณะกรรมการบริหารงานกลุ่มจังหวัดแบบบูรณาการ (ก.บ.ก.) และคณะกรรมการร่วมภาครัฐและเอกชนเพื่อแก้ไขปัญหาเศรษฐกิจของจังหวัด(กรอ.จังหวัด)ประจำปีงบประมาณ พ.ศ. 2561</t>
  </si>
  <si>
    <t>(1) ค่าเบี้ยประชุมคณะกรรมการ ก.บ.จ.อ่างทอง</t>
  </si>
  <si>
    <t>(2) ค่าอาหารว่างและเครื่องดื่ม</t>
  </si>
  <si>
    <t>(3) ค่าจ้างเหมาจัดทำเอกสาร</t>
  </si>
  <si>
    <t>(4) ค่าเดินทางไปราชการ</t>
  </si>
  <si>
    <t>3. การจัดการศึกษาเพื่อพัฒนายุทธศาสตร์จังหวัด/กลุ่มจังหวัด</t>
  </si>
  <si>
    <t xml:space="preserve">3.1 กิจกรรมดำเนินการขับเคลื่อนยุทธศาสตร์การพัฒนาจังหวัดอ่างทอง (อ่างทองครัวกรุงเทพ และ 5 ที่สุดสิ่งศักดิ์สิทธิ์)
</t>
  </si>
  <si>
    <t>4. การพัฒนาประสิทธิภาพในการบริหารจัดการ</t>
  </si>
  <si>
    <t>(1) ค่าน้ำมันเชื้อเพลิงผวจ. 12*20,000 บาท 
รอง ผวจ. 2*12*13,000 บาท สนจ. 12*24,000 บาท</t>
  </si>
  <si>
    <t>(2) ค่าวัสดุสำนักงาน 12*25,000 บาท</t>
  </si>
  <si>
    <t>(3) ค่าเดินทางไปราชการ</t>
  </si>
  <si>
    <t>(4) ค่าซ่อมแซมครุภัณฑ์สำนักงาน</t>
  </si>
  <si>
    <t>(5) ค่าซ่อมแซมรถยนต์</t>
  </si>
  <si>
    <t>(6) ค่าวิทยากร ค่าอาหารจัดประชุมค่าจ้างเหมาจัดทำเอกสาร และงานอำนวยการบูรณาการทั่วไปของจังหวัด</t>
  </si>
  <si>
    <t>4.2 กิจกรรมจัดหาบุคลากรเพื่อสนับสนุนการบริหารจัดการตามยุทธศาสตร์
การพัฒนาจังหวัดอ่างทองประจำปีงบประมาณ พ.ศ. 2561 (7 คน)</t>
  </si>
  <si>
    <t>(1) วุฒิปริญาตรีช่วยงานการเงินงบประจำ (ประสบการณ์มากกว่า 2 ปี) 1 คนๆ ละ 12 เดือนๆ ละ 15,000 บาท</t>
  </si>
  <si>
    <t>(2) วุฒิปริญาตรีช่วยงานการเงินงบจังหวัดกลุ่มจังหวัด(ประสบการณ์น้อยกว่า 1 ปี) 1 คนๆ ละ 12 เดือนๆ ละ 13,000 บาท</t>
  </si>
  <si>
    <t>(3) วุฒิปริญาตรีช่วยงานระบบเอกสารอิเลคทรอนิกส์และบริหารงานทั่วไป (ประสบการณ์มากกว่า 2ปี) 1 คนๆ ละ 12 เดือนๆ ละ 15,000 บาท</t>
  </si>
  <si>
    <t>(4) วุฒิปริญาตรีช่วยงานยุทธศาสตร์ (ประสบการณ์มากกว่า 2 ปี) 1 คนๆ 
ละ 12 เดือนๆ ละ 15,000 บาท</t>
  </si>
  <si>
    <t>(5) วุฒิ ปวส.ช่วยงานธุรการทั่วไป 1 คนๆ ละ 12 เดือนเดือนละ 11,000 บาท</t>
  </si>
  <si>
    <t>(6) วุฒิ ปวส. ขับรถยนต์ 2 คนๆ ละ 12 เดือนๆ ละ 11,500 บาท</t>
  </si>
  <si>
    <t>4.4 กิจกรรมของส่วนราชการที่ได้รับอนุมัติจากผู้ว่าราชการจังหวัดอ่างทอง</t>
  </si>
  <si>
    <t xml:space="preserve">5.การเผยแพร่ประชาสัมพันธ์เพื่อให้เกิดความรู้ความเข้าใจแก่ภาคส่วนต่างๆ 
เพื่อเข้ามามีส่วนร่วมในการจัดทำแผน รวมทั้งเพื่อสนับสนุนเพื่อขับเคลื่อน
การดำเนินการตามแผน
</t>
  </si>
  <si>
    <t>6. การติดตามประเมินผล</t>
  </si>
  <si>
    <t xml:space="preserve">6.1 กิจกรรมค่าใช้จ่ายในการติดตามประเมินผลการดำเนินงานตามแผนพัฒนาจังหวัดอ่างทอง
</t>
  </si>
  <si>
    <t>(1) ค่าวัสดุสำนักงาน 12*20,000 บาท</t>
  </si>
  <si>
    <t>(2) ค่าเดินทางไปราชการ</t>
  </si>
  <si>
    <t>(3) ค่าซ่อมแซมครุภัณฑ์สำนักงาน</t>
  </si>
  <si>
    <t>(4) ซ่อมแซมเครื่องยนต์</t>
  </si>
  <si>
    <t>(5) ค่าวิทยากร ค่าอาหารจัดประชุมค่าจ้างเหมาจัดทำเอกสาร และงานอำนวยการติดตามยุทธศาสตร์ของจังหวัด</t>
  </si>
  <si>
    <t>(2) โครงการอบรมจิตอาสาเฉพาะกิจงานถวายพระเพลิงพระบรมศพ 
" จิตอาสางานรักษาความปลอดภัย และงานจราจร " จังหวัดอ่างทอง</t>
  </si>
  <si>
    <t>สนง.วัฒนธรรมจังหวัดอ่างทอง</t>
  </si>
  <si>
    <t>ตำรวจภูธรจังหวัดอ่างทอง</t>
  </si>
  <si>
    <t>สนง.จังหวัดอ่างทอง</t>
  </si>
  <si>
    <t xml:space="preserve">2. การจัดประชุม ก.บ.จ. หรือ กรอ.จังหวัด
</t>
  </si>
  <si>
    <t xml:space="preserve"> - เครื่องจับพิกัด GPS </t>
  </si>
  <si>
    <t>(6) ค่าเช่าเครื่องถ่ายเอกสาร 1 เครื่องๆ ละ 12 เดือนๆ ละ 13,000 บาท</t>
  </si>
  <si>
    <t>5.2.1 ก่อสร้างระบบประปาหมู่บ้านแบบบาดาลขนาดใหญ่ หมู่ที่ 10 ตำบลยางช้าย อำเภอโพธิ์ทอง จังหวัดอ่างทอง</t>
  </si>
  <si>
    <t>โครงการส่งเสริมและสนับสนุนเทคโนโลยีพลังงานทดแทนในนาแปลงใหญ่และกลุ่มเกษตรปลอดภัย</t>
  </si>
  <si>
    <t xml:space="preserve"> - ระบบสูบน้ำพลังงานแสงอาทิตย์ขนาด 25 กิโลวัตต์</t>
  </si>
  <si>
    <t xml:space="preserve"> - ระบบสูบน้ำพลังงานแสงอาทิตย์ขนาด 3 กิโลวัตต์</t>
  </si>
  <si>
    <t xml:space="preserve"> - ค่าเตา LPG ประสิทธิภาพสูง ขนาด 5 นิ้ว</t>
  </si>
  <si>
    <t xml:space="preserve"> - ค่าเตา LPG ประสิทธิภาพสูง ขนาด 8 นิ้ว</t>
  </si>
  <si>
    <t xml:space="preserve"> - ระบบอบแห้งพลังงานแสงอาทิตย์</t>
  </si>
  <si>
    <t>1.1 สนับสนุนเทคโนโลยีสูบน้ำพลังงานแสงอาทิตย์</t>
  </si>
  <si>
    <t>ผู้รับจ้าง</t>
  </si>
  <si>
    <t xml:space="preserve">7.1 ก่อสร้างระบบบำบัดน้ำเสียพลังงานแสงอาทิตย์ (Solar Cell)/ไม่ใช้พลังงานแสงอาทิตย์ (non Solar Cell) แบบกลุ่มอาคาร ชนิดถังสำเร็จรูป (ขนาด 50 ลบ.ม./วัน หรือ 80 ลบ.ม./วัน) </t>
  </si>
  <si>
    <t xml:space="preserve"> - อุปกรณ์ออกกำลังกายในชมรมผู้สูงอายุ จำนวน 
180 ชุด</t>
  </si>
  <si>
    <t xml:space="preserve">  - งบลงทุน</t>
  </si>
  <si>
    <t>สนง.สวัสดิการและคุ้มครองแรงงานจังหวัด</t>
  </si>
  <si>
    <t>สนง.พระพุทธศาสนาจังหวัด</t>
  </si>
  <si>
    <t>1.2.2 รณรงค์ป้องกันและแก้ไขปัญหายาเสพติด 
(To Be Number One) ในสถานพินิจและคุ้มครองเด็กและเยาวชนจังหวัดอ่างทอง</t>
  </si>
  <si>
    <t>3.1.4 ส่งเสริมและพัฒนาฟาร์มตัวอย่างตามพระราชดำริ ในสมเด็จพระนางเจ้าฯ พระบรมราชินีนาถ 
หนองระหารจีน ตำบลบ้านอิฐ อำเภอเมืองอ่างทอง จังหวัดอ่างทอง</t>
  </si>
  <si>
    <t>5.1.1 ปรับปรุงถนนแอสฟัลท์ติกคอนกรีตทางเข้า-ออกศูนย์กำจัดมูลฝอยรวมเทศบาลเมืองอ่างทอง หมู่ที่ 3 
ตำบลเทวราช อำเภอไชโย จังหวัดอ่างทอง</t>
  </si>
  <si>
    <t>5.1.2 ปรับปรุงถนนแอสฟัลท์ติกคอนกรีต พร้อมท่อ
ระบายน้ำและบ่อพัก คสล. ถนนเทศบาล 5 
อำเภอเมืองอ่างทอง จังหวัดอ่างทอง</t>
  </si>
  <si>
    <t>5.1.3 ก่อสร้างถนนคอนกรีตเสริมเหล็กหมู่ที่ 1 หมู่ที่ 2 เชื่อมต่อหมู่ที่ 3 ตำบลราชสถิตย์ อำเภอไชโย 
จังหวัดอ่างทอง</t>
  </si>
  <si>
    <t>5.1.4 ก่อสร้างถนนคอนกรีตเสริมเหล็กหมู่ที่ 3 
ตำบลวังน้ำเย็น อำเภอแสวงหา เชื่อมต่อ หมู่ที่ 10 
ตำบลรำมะสัก อำเภอโพธิ์ทอง จังหวัดอ่างทอง</t>
  </si>
  <si>
    <t xml:space="preserve">5.2.2 ก่อสร้างระบบประปาหมู่บ้านแบบบาดาลขนาดใหญ่ หมู่ที่ 5 ตำบลตลาดใหม่ อำเภอวิเศษชัยชาญ 
จังหวัดอ่างทอง  </t>
  </si>
  <si>
    <t xml:space="preserve">5.2.5 ก่อสร้างระบบประปาหมู่บ้านแบบบาดาลขนาดใหญ่ หมู่ที่ 5  ตำบลมหาดไทย อำเภอเมืองอ่างทอง 
จังหวัดอ่างทอง  </t>
  </si>
  <si>
    <t xml:space="preserve">7.3.1 ปรับปรุงภูมิทัศน์บริเวณหน้าศาลากลาง
จังหวัดอ่างทอง </t>
  </si>
  <si>
    <t>(4) โครงการแสดงความจงรักภักดีถวายเป็นพระราชกุศลแด่พระปรมินทรมหาภูมิพลอดุลยเดช บรมนาถบพิตร เนื่องในโอกาสเสด็จสวรรคตครบ 1 ปี</t>
  </si>
  <si>
    <t>ยกเลิกโครงการ</t>
  </si>
  <si>
    <t xml:space="preserve"> - จัดซื้อจุลินทรีย์ปรับปรุงคุณภาพน้ำ</t>
  </si>
  <si>
    <t>งบประมาณ 31,947,700 บาท (สามสิบเอ็ดล้านเก้าแสนสี่หมื่นเจ็ดพันเจ็ดร้อยบาทถ้วน)</t>
  </si>
  <si>
    <t>งบประมาณ 185,832,900 บาท (หนึ่งร้อยแปดสิบห้าล้านแปดแสนสามหมื่นสองพันเก้าร้อยบาทถ้วน)</t>
  </si>
  <si>
    <t xml:space="preserve"> - จัดซื้ออาหารเสริมวิตามินซี และวิตามินรวม จำนวน 9 ชุด</t>
  </si>
  <si>
    <t xml:space="preserve"> - จัดซื้อยาฆ่าเชื้อและกำจัดปรสิตภายนอก จำนวน 9 ชุด</t>
  </si>
  <si>
    <t xml:space="preserve"> - สาธิตการใช้ปุ๋ยพืชสด การทำปุ๋ยหมักและการทำน้ำหมักชีวภาพ</t>
  </si>
  <si>
    <t>สถานีพัฒนาที่ดิน</t>
  </si>
  <si>
    <t>1.1.1 พัฒนาปัจจัยสนับสนุนภาคการท่องเที่ยวและการบริการ
 - จัดทำป้ายบอกเส้นทางในแหล่งท่องเที่ยว</t>
  </si>
  <si>
    <t>แขวงทางหลวงชนบทอ่างทอง</t>
  </si>
  <si>
    <t xml:space="preserve"> - พัฒนาแหล่งท่องเที่ยวบางเสด็จ ก่อสร้างอาคารเรือนไทยเชื่อมศูนย์ตุ๊กตาชาววัง</t>
  </si>
  <si>
    <t xml:space="preserve"> - พัฒนาแหล่งท่องเที่ยวเพื่อคนทั้งมวล ณ วัดไชโยวรวิหาร ทาสีเส้นที่จอดรถคนพิการ ป้ายชี้ทาง จุดแวะพักทางลาด และทางลง</t>
  </si>
  <si>
    <t>แขวงทางหลวงอ่างทอง</t>
  </si>
  <si>
    <t>สนง.สถิติจังหวัดอ่างทอง</t>
  </si>
  <si>
    <t>เหลือจ่ายส่งคืน</t>
  </si>
  <si>
    <t xml:space="preserve"> - ปรับสภาพบ้านผู้สูงอายุ จำนวน 600 หลัง</t>
  </si>
  <si>
    <t xml:space="preserve">5.1 กิจกรรมของส่วนราชการที่ได้รับอนุมัติจากผู้ว่าราชการจังหวัด
</t>
  </si>
  <si>
    <t>(1) โครงการค่ายครอบครัว " สานใจไทยสู่ใจใต้ " รุ่นที่ 31</t>
  </si>
  <si>
    <t>(3) โครงการปรับปรุงสถานที่บริการและอำนวยความสะดวก แก่ประชาชน ในพิธีถวายดอกไม้จันทร์ จังหวัดอ่างทอง</t>
  </si>
  <si>
    <t>(5) โครงการ "หน่วยบำบัดทุกข์ บำรุงสุขสร้างรอยยิ้มให้ประชาชน" เพื่อเสริมสร้างความเข้าใจ ของประชาชนในการดำเนินงานตามยุทธศาสตร์การพัฒนาจังหวัดอ่างทอง ประจำปีงบประมาณ พ.ศ. 2561</t>
  </si>
  <si>
    <t>ที่ทำการปกครองจังหวัดอ่างทอง</t>
  </si>
  <si>
    <t xml:space="preserve"> - รถรางชมวิวระบบเชื้อเพลิงเบนซิน ขนาดไม่น้อยกว่า 
23 ที่นั่ง</t>
  </si>
  <si>
    <t>สนง.ทรัพยากรธรรมชาติและสิ่งแวดล้อมจังหวัด</t>
  </si>
  <si>
    <t>3.1.5 ส่งเสริมและพัฒนาพื้นที่แก้มลิงหนองเจ็ดเส้น 
อันเนื่องมาจากพระราชดำริ ตำบลหัวไผ่ 
อำเภอเมืองอ่างทอง ตำบลสายทอง อำเภอป่าโมก 
จังหวัดอ่างทอง</t>
  </si>
  <si>
    <t>สนง.ทรัพยากรธรรมชาติและสิ่งแวดล้อม</t>
  </si>
  <si>
    <t>(1) โครงการจัดทำป้ายประชาสัมพันธ์ "โครงการตลาดประชารัฐ" 
จังหวัดอ่างทอง</t>
  </si>
  <si>
    <t>(2) โครงการผู้ว่าพบประชาชน ประจำปีงบประมาณ พ.ศ.2561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พ.ศ.2561</t>
  </si>
  <si>
    <t xml:space="preserve"> กิจกรรมพัฒนาระบบข้อมูลสารสนเทศและการสื่อสารเพื่อการบริหารจัดการยุทธศาสตร์การพัฒนาจังหวัด 100,000 + กิจกรรมอำนวยการบริหารงานจังหวัดแบบบูรณาการจังหวัดอ่างทองประจำปีงบประมาณ พ.ศ. ๒๕61 จำนวน 5,1000</t>
  </si>
  <si>
    <t>4.3 โครงการติดตั้งระบบกล้องโทรทัศน์วงจรปิด CCTV บริเวณพระเมรุมาศจำลอง และบริเวณศาลากลางจังหวัดอ่างทอง</t>
  </si>
  <si>
    <t>(6) โครงการฝึกอบรมเชิงปฏิบัติการ "การจัดซื้อจัดจ้างด้วยวิธีการทางอิเล็กทรอนิกส์ (Electronic Government Procurement : e-GP)"</t>
  </si>
  <si>
    <t>สนง.คลังจังหวัดอ่างทอง</t>
  </si>
  <si>
    <t xml:space="preserve">  - อำเภอ 7 อำเภอ</t>
  </si>
  <si>
    <t xml:space="preserve">  - สพม.เขต 5</t>
  </si>
  <si>
    <t xml:space="preserve">  - สพป.อ่างทอง</t>
  </si>
  <si>
    <t xml:space="preserve">  - สถานประกอบการ</t>
  </si>
  <si>
    <t xml:space="preserve">  - เรือนจำ</t>
  </si>
  <si>
    <t xml:space="preserve">  - คุมประพฤติจังหวัด</t>
  </si>
  <si>
    <t xml:space="preserve">  - วิทยาลัยนาฏศิลปอ่างทอง</t>
  </si>
  <si>
    <t>เริ่ม 25 ต.ค.60 สิ้นสุด 22 เม.ย.61</t>
  </si>
  <si>
    <t>หจก.ภัสสรชัยมงคล</t>
  </si>
  <si>
    <t>เริ่ม 10 พ.ย. .60 สิ้นสุด 7 ก.พ. 61</t>
  </si>
  <si>
    <t>หจก.เยี่ยมบุญชัย 94</t>
  </si>
  <si>
    <t>เริ่ม 8 พ.ย. .60 สิ้นสุด 22 ธ.ค. 60</t>
  </si>
  <si>
    <t>หจก.อ่างทองพัฒนา</t>
  </si>
  <si>
    <t>เริ่ม 18 ต.ค. 60 สิ้นสุด 14 ก.พ. 61</t>
  </si>
  <si>
    <t>หจก.นาคราชการโยธา</t>
  </si>
  <si>
    <t>เริ่ม 21 ต.ค. 60 สิ้นสุด 18 เม.ย. 61</t>
  </si>
  <si>
    <t>เริ่ม 9 พ.ย. 60 สิ้นสุด 7 พ.ค. 61</t>
  </si>
  <si>
    <t>กิจการร่วมค้าดัดประดิษฐ์ก่อสร้างและตระกูลดีอ้นการค้า</t>
  </si>
  <si>
    <t>เริ่ม 10 พ.ย. 60 สิ้นสุด 9 มี.ค. 61</t>
  </si>
  <si>
    <t>หจก.ศรณรงค์ก่อสร้าง</t>
  </si>
  <si>
    <t>เริ่ม 21 พ.ย. 60 สิ้นสุด 19 เม.ย. 61</t>
  </si>
  <si>
    <t>เริ่ม 9 พ.ย. 60 สิ้นสุด 8 พ.ค. 61</t>
  </si>
  <si>
    <t>หจก.มหาราชชัยมงคล</t>
  </si>
  <si>
    <t>เริ่ม 18 พ.ย. 60 สิ้นสุด 27 พ.ค. 61</t>
  </si>
  <si>
    <t>ร้านอารีย์ก่อสร้าง</t>
  </si>
  <si>
    <t>อยู่ระหว่างประกาศประกวดราคา</t>
  </si>
  <si>
    <t>ร้านออโต้ไอที</t>
  </si>
  <si>
    <t>เริ่ม 20 พ.ย. 60 สิ้นสุด 27 พ.ย. 61</t>
  </si>
  <si>
    <t>4.1 กิจกรรมอำนวยการบริหารงานจังหวัดแบบบูรณาการจังหวัดอ่างทองประจำปีงบประมาณ พ.ศ. 2561</t>
  </si>
  <si>
    <t>(7) โครงการวันพุธวันกีฬา จังหวัดอ่างทอง (Wednesday Sports Angthong) ประจำปีงบประมาณ พ.ศ. 2561</t>
  </si>
  <si>
    <t>สนง.จังหวัดอ่างทอง
(กลุ่มงานบริหารทรัพยากรบุคคล)</t>
  </si>
  <si>
    <t>3.2.2 รวมกลุ่มและสร้างเครือข่ายการพัฒนาการเกษตรตามแนวทฤษฏีใหม่ โดยยึดหลักปรัชญาเศรษฐกิจพอเพียง</t>
  </si>
  <si>
    <t>บัญชีสรุปผลการเบิกจ่ายงบประมาณโครงการพัฒนากลุ่มจังหวัดแบบบูรณาการ
ประจำปีงบประมาณ พ.ศ. 2560 ในส่วนจังหวัดอ่างทอง</t>
  </si>
  <si>
    <t xml:space="preserve">ที่ </t>
  </si>
  <si>
    <t>ผลการเบิกจ่ายงบประมาณ</t>
  </si>
  <si>
    <t>หน่วยงานรับผิดชอบ</t>
  </si>
  <si>
    <t>เบิกจ่าย(บาท)</t>
  </si>
  <si>
    <t>คงเหลือ(บาท)</t>
  </si>
  <si>
    <t>โครงการสนับสนุนการบริหารจัดการและจ้างเหมาเอกชนดำเนินงานของกลุ่มจังหวัดภาคกลางตอนบน 2</t>
  </si>
  <si>
    <t>สำนักงานจังหวัดอ่างทอง</t>
  </si>
  <si>
    <t>(8) โครงการส่งเสริมตลาดประชารัฐจังหวัดอ่างทอง ประจำปี 2561</t>
  </si>
  <si>
    <t>3.1.3 ส่งเสริมและพัฒนาฟาร์มตัวอย่างตามพระราชดำริในสมเด็จพระนางเจ้าฯ พระบรมราชินีนาถ 
ตำบลสีบัวทอง อำเภอแสวงหา จังหวัดอ่างทอง</t>
  </si>
  <si>
    <t>เริ่ม 1 ธ.ค. 60 สิ้นสุด 30 มี.ค. 61</t>
  </si>
  <si>
    <t>ประชาสัมพันธ์จังหวัดอ่างทอง</t>
  </si>
  <si>
    <t>รอตรวจสิ่งแวดล้อม</t>
  </si>
  <si>
    <t>รอประกาศ</t>
  </si>
  <si>
    <t>เปลี่ยนแปลงรายละเอียดขอทำความตกลงกับสงป.</t>
  </si>
  <si>
    <t>แก้ไข ปร.4,ปร.5</t>
  </si>
  <si>
    <t>แก้ไขรายละเอียด</t>
  </si>
  <si>
    <t>รอแบบ,ปร.4,ปร.5</t>
  </si>
  <si>
    <t>อนุมัติโครงการ</t>
  </si>
  <si>
    <t>โครงการเงินเหลือจ่าย</t>
  </si>
  <si>
    <t>โครงการปรับปรุงและพัฒนาโครงสร้างพื้นฐาน</t>
  </si>
  <si>
    <t>กิจกรรมเสริมคันดินริมแม่น้ำเจ้าพระยาเพื่อเพิ่มความแข็งแรงของคันดิน หมู่ที่ 4 ตำบลบ้านแห อำเภอเมืองอ่างทอง จังหวัดอ่างทอง</t>
  </si>
  <si>
    <t>กิจกรรมส่งเสริมและพัฒนาพื้นที่แก้มลิงหนองเจ็ดเส้นอันเนื่องมาจากพระราชดำริ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</si>
  <si>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โครงการส่งเสริมอาชีพ สร้างโอกาส สร้างรายได้ ของประชาชน</t>
  </si>
  <si>
    <t>กิจกรรมย่อย ก่อสร้างลานจอดรถคอนกรีตเสริมเหล็ก</t>
  </si>
  <si>
    <t>สำนักงานโยธาธิการและผังเมืองจังหวัดอ่างทอง</t>
  </si>
  <si>
    <t>ผลการดำเนินงานโครงการพัฒนาจังหวัดแบบบูรณาการ ปีงบประมาณ 2561</t>
  </si>
  <si>
    <t>รายการงบลงทุน</t>
  </si>
  <si>
    <t>รายการ</t>
  </si>
  <si>
    <t>หน่วยดำเนินการ</t>
  </si>
  <si>
    <t>การดำเนินการ</t>
  </si>
  <si>
    <t>ลงนามสัญญาจ้าง</t>
  </si>
  <si>
    <t>งบประมาณ(บาท)</t>
  </si>
  <si>
    <t>พิจารณาผล</t>
  </si>
  <si>
    <t>อยู่ระหว่างประกาศประกวดราคาครั้งที่ 2</t>
  </si>
  <si>
    <t>ได้ตัวผู้รับจ้าง วันที่ 19 ธ.ค.60</t>
  </si>
  <si>
    <t>หจก. วีเอส
แม็ชชิ่ง</t>
  </si>
  <si>
    <t>ได้ตัวผู้รับจ้างแล้วรออุทธรณ์</t>
  </si>
  <si>
    <t>ขายแบบ วันที่ 19-26 ธ.ค.60</t>
  </si>
  <si>
    <t>แต่งตั้งคณะกรรมการ</t>
  </si>
  <si>
    <t>แก้ไขโครงการ</t>
  </si>
  <si>
    <t>5.2.1 ก่อสร้างระบบประปาหมู่บ้านแบบบาดาลขนาดใหญ่ หมู่ที่ 10 ตำบลยางช้าย อำเภอโพธิ์ทอง 
จังหวัดอ่างทอง</t>
  </si>
  <si>
    <t xml:space="preserve">5.2.3 ก่อสร้างระบบประปาหมู่บ้านแบบบาดาลขนาดใหญ่  หมู่ที่ 3 ตำบลโพธิ์รังนก อำเภอโพธิ์ทอง 
จังหวัดอ่างทอง  </t>
  </si>
  <si>
    <t xml:space="preserve">5.2.4 ก่อสร้างระบบประปาหมู่บ้านแบบบาดาลขนาดใหญ่ หมู่ที่ 1 ตำบลยางซ้าย อำเภอโพธิ์ทอง 
จังหวัดอ่างทอง  </t>
  </si>
  <si>
    <t>5.2.6 ก่อสร้างระบบประปาหมู่บ้านแบบบาดาลขนาดใหญ่  หมู่ที่ 1 ตำบลรำมะสัก อำเภอโพธิ์ทอง 
จังหวัดอ่างทอง</t>
  </si>
  <si>
    <t>ยกเลิก 
(ก.บ.ก.เห็นชอบ 
เมื่อวันที่ 12 ธ.ค.60)</t>
  </si>
  <si>
    <t>บริษัททองสยามคอนสตัคชั่น ซับพลาย</t>
  </si>
  <si>
    <t>เริ่ม 18 พ.ย. 60 สิ้นสุด 
27 พ.ค. 61</t>
  </si>
  <si>
    <t>เริ่ม 1 ธ.ค. 60 สิ้นสุด 
30 มี.ค. 61</t>
  </si>
  <si>
    <t>เริ่ม 9 พ.ย. 60 สิ้นสุด 
8 พ.ค. 61</t>
  </si>
  <si>
    <t>เริ่ม 9 พ.ย. 60 สิ้นสุด 
7 พ.ค. 61</t>
  </si>
  <si>
    <t>เริ่ม 21 พ.ย. 60 สิ้นสุด 
19 เม.ย. 61</t>
  </si>
  <si>
    <t>เริ่ม 8 พ.ย. .60 สิ้นสุด 
22 ธ.ค. 60</t>
  </si>
  <si>
    <t>เริ่ม 10 พ.ย. .60 สิ้นสุด 
7 ก.พ. 61</t>
  </si>
  <si>
    <t>เริ่ม 25 ต.ค.60 สิ้นสุด 
22 เม.ย.61</t>
  </si>
  <si>
    <t>เริ่ม 20 พ.ย. 60 สิ้นสุด 
27 พ.ย. 61</t>
  </si>
  <si>
    <t>กิจกรรมส่งเสริมและพัฒนาพื้นที่แก้มลิงหนองเจ็ดเส้น
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</si>
  <si>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เสร็จแล้ว</t>
  </si>
  <si>
    <t>บัญชีโครงการที่ขอรับการสนับสนุนโครงการ</t>
  </si>
  <si>
    <t xml:space="preserve">งบประมาณค่าใช้จ่ายในการสนับสนุนการแก้ไขปัญหาความเดือดร้อนเร่งด่วนของประชาชนในจังหวัดอ่างทอง </t>
  </si>
  <si>
    <t>ประจำปีงบประมาณ พ.ศ. 2561 งวดที่ 1 (1.5 ล้านบาท)</t>
  </si>
  <si>
    <t>งบประมาณที่เสนอขอรับการอนุมัติ</t>
  </si>
  <si>
    <t>หน่วยงานที่รับผิดชอบร่วม</t>
  </si>
  <si>
    <t xml:space="preserve">ค่าใช้จ่ายในการสนับสนุนการแก้ไขปัญหาความเดือดร้อนเร่งด่วนของประชาชนในจังหวัด ประจำปีงบประมาณ พ.ศ. 2561         </t>
  </si>
  <si>
    <t xml:space="preserve"> - สำนักงานจังหวัดอ่างทอง
 - อำเภอเมืองอ่างทอง</t>
  </si>
  <si>
    <t xml:space="preserve"> - สำนักงานจังหวัดอ่างทอง
 - อำเภอสามโก้</t>
  </si>
  <si>
    <t xml:space="preserve"> - สำนักงานจังหวัดอ่างทอง
 - อำเภอแสวงหา</t>
  </si>
  <si>
    <t xml:space="preserve"> - สำนักงานจังหวัดอ่างทอง
 - อำเภอวิเศษชัยชาญ</t>
  </si>
  <si>
    <t xml:space="preserve"> - สำนักงานจังหวัดอ่างทอง
 - อำเภอโพธิ์ทอง</t>
  </si>
  <si>
    <t xml:space="preserve"> - สำนักงานจังหวัดอ่างทอง
 - อำเภอป่าโมก</t>
  </si>
  <si>
    <t xml:space="preserve">             งวดที่ 1 : 1,500,000 บาท</t>
  </si>
  <si>
    <t xml:space="preserve">             หมายเหตุ : ก่อหนี้ผูกพัน และเบิกจ่ายให้แล้วเสร็จภายในวันที่ 31 มีนาคม 2561</t>
  </si>
  <si>
    <t xml:space="preserve">             งวดที่ 2 : 1,500,000 บาท</t>
  </si>
  <si>
    <t xml:space="preserve">             ** ทั้ง 2 งวด ต้องเบิกจ่ายให้แล้วเสร็จภายใน 31 สิงหาคม 2561</t>
  </si>
  <si>
    <t>เริ่มต้น-สิ้นสุด</t>
  </si>
  <si>
    <t>วงเงินสัญญาจ้าง</t>
  </si>
  <si>
    <t>เงินเหลือจากการก่อหนี้</t>
  </si>
  <si>
    <t>1.4 โครงการซ่อมสร้างถนนคอนกรีตเสริมเหล็ก หมู่ที่ 5 
ตำบลห้วยคันแหลน อำเภอวิเศษชัยชาญ จังหวัดอ่างทอง</t>
  </si>
  <si>
    <t>1.1 โครงการวางท่อระบายน้ำพร้อมบ่อพักคอนกรีตเสริมเหล็ก
ซอยข้างศาลา SML หมู่ที่ 7 ตำบลศาลาแดง</t>
  </si>
  <si>
    <t>1.2.8 ค้นหาผู้เสพ/ผู้ติดยาเสพติด เพื่อนำเข้าบำบัด</t>
  </si>
  <si>
    <t>เริ่ม 22 ธ.ค. 60 สิ้นสุด 
4 ก.พ. 61</t>
  </si>
  <si>
    <t>สำนักงานพัฒนาสังคมและความมั่นคงของมนุษย์จังหวัดอ่างทอง</t>
  </si>
  <si>
    <t>(3) โครงการจัดทำปฏิทินส่งเสริมการท่องเที่ยว จังหวัดอ่างทอง ประจำปี 2561</t>
  </si>
  <si>
    <t>เริ่ม 29 ธ.ค.60 สิ้นสุด 
27 ม.ค.61</t>
  </si>
  <si>
    <t>นายชินพันธ์ เหลืองศิธัญญะ</t>
  </si>
  <si>
    <t>ป.ประทีบก่อสร้าง</t>
  </si>
  <si>
    <t>เริ่ม 13 ม.ค. 61
สิ้นสุด 
26 ก.พ. 61</t>
  </si>
  <si>
    <t>(4) โครงการประชาสัมพันธ์ยุทธศาสตร์การพัฒนาจังหวัดอ่างทอง ประจำปีงบประมาณ พ.ศ. 2561</t>
  </si>
  <si>
    <t>(9) โครงการปรับปรุงเวทีเฉลิมพระเกียรติสำหรับจัดงานรัฐพิธีและจัดกิจกรรมที่สำคัญตามยุทธศาสตร์การพัฒนาจังหวัด</t>
  </si>
  <si>
    <t>สนง.จังหวัดอ่างทอง
(กลุ่มงานอำนวยการ)</t>
  </si>
  <si>
    <t>(5) โครงการประชาสัมพันธ์อุทยานสวรรค์อ่างทองหนองเจ็ดเส้น</t>
  </si>
  <si>
    <t>เริ่ม 24 ม.ค. 61 สิ้นสุด 
23 พ.ค. 61</t>
  </si>
  <si>
    <t>เริ่ม 24 ม.ค. 61 สิ้นสุด 
22 มิ.ย. 61</t>
  </si>
  <si>
    <t>เริ่ม 17 ม.ค. 61
สิ้นสุด 
16 เม.ย. 61</t>
  </si>
  <si>
    <t>หจก.ตั้งรุ่งเรืองกิจการโยธา</t>
  </si>
  <si>
    <t>บริษัท เพชรอินทร์ก่อสร้าง จำกัด</t>
  </si>
  <si>
    <t>1.2 โครงการปรับปรุงซ่อมแซมผิวจราจรชำรุดบรรเทาความเดือดร้อนของประชาชน (ถนนลูกรังหนองอ้ายเปลี่ยว หมู่ที่ 2 
ตำบลราษฎรพัฒนา อำเภอสามโก้ จังหวัดอ่างทอง)</t>
  </si>
  <si>
    <t>สัญญาเริ่มต้น 5 ม.ค. 61 สิ้นสุด  19 ก.พ. 61</t>
  </si>
  <si>
    <t>สัญญาเริ่มต้น 26 ธ.ค. 60สิ้นสุด  25 ม.ค. 61</t>
  </si>
  <si>
    <t>สัญญาเริ่มต้น 12 ม.ค. 61 สิ้นสุด  10 ก.พ. 61</t>
  </si>
  <si>
    <t>สัญญาเริ่มต้น 15 ม.ค. 61 สิ้นสุด  1 มี.ค. 62</t>
  </si>
  <si>
    <t>พัชรพล พาณิชย์</t>
  </si>
  <si>
    <t>ร้านชยาภรณ์</t>
  </si>
  <si>
    <t>น.ส. นุชลี 
ขวัญเกตุ</t>
  </si>
  <si>
    <t>นายเสมา 
ผลไพบูลย์</t>
  </si>
  <si>
    <t>1.6 ซ่อมแซมปรับปรุงถนนเลียบคลองชลประทาน (ริมคลองตาเส็ง) หมู่ที่ 5 ตำบลเอกราชอำเภอป่าโมก  จังหวัดอ่างทอง</t>
  </si>
  <si>
    <t>1.5 โครงการปรับปรุงซ่อมแซมระบบประปาหมู่บ้าน หมู่ที่ 7 
ตำบลอินทประมูล อำเภอโพธิ์ทอง จังหวัดอ่างทอง</t>
  </si>
  <si>
    <t>1.3 โครงการปรับปรุงซ่อมแซมถนนภายในหมู่บ้าน หมู่ที่ 8 
ตำบลบ้านพราน อำเภอแสวงหา จังหวัดอ่างทอง</t>
  </si>
  <si>
    <t xml:space="preserve">5.2.4 ก่อสร้างระบบประปาหมู่บ้านแบบบาดาลขนาดใหญ่ หมู่ที่ 1 ตำบลยางซ้าย อำเภอโพธิ์ทอง จังหวัดอ่างทอง  </t>
  </si>
  <si>
    <t>กิจกรรมเสริมคันดินริมแม่น้ำเจ้าพระยาเพื่อเพิ่มความแข็งแรงของคันดิน หมู่ที่ 5 ตำบลบ้านแห อำเภอเมืองอ่างทอง จังหวัดอ่างทอง</t>
  </si>
  <si>
    <t>หจก. จำกัด วรศักดิ์การชั่ง</t>
  </si>
  <si>
    <t>เริ่ม 30 ม.ค.61 สิ้นสุด 
28 ส.ค.61</t>
  </si>
  <si>
    <t>3.1.19 งานวิ่งเฉลิมพระเกียรติ</t>
  </si>
  <si>
    <t>สัญญาเริ่มต้น 
3 ม.ค. 61 สิ้นสุด  17 ก.พ. 61</t>
  </si>
  <si>
    <t>เริ่ม 6 ก.พ .61 สิ้นสุด 6 เม.ย. 61</t>
  </si>
  <si>
    <t>เริ่ม 10 ก.พ .61 สิ้นสุด 10 เม.ย. 61</t>
  </si>
  <si>
    <t>บริษัท ไทยบิลบอร์ด จำกัด</t>
  </si>
  <si>
    <t>หจก.คังวอณประเทศไทย</t>
  </si>
  <si>
    <t>เริ่ม 26 ธ.ค.60 สิ้นสุด 
25 มี.ค. 61</t>
  </si>
  <si>
    <t>1.1.1 เสริมสร้างศักยภาพการรักษาความปลอดภัย
ในชีวิตและทรัพย์สินของบุคลากรตำรวจภูธร</t>
  </si>
  <si>
    <t>1.1.2 พัฒนาศักยภาพคณะกรรมการหมู่บ้าน(กม.) 
ในการสร้างความปรองดองสมานฉันท์</t>
  </si>
  <si>
    <t>1.2.10 พัฒนาและสร้างเครือข่ายแรงงานป้องกัน
ยาเสพติด</t>
  </si>
  <si>
    <t>1.2.13 เสริมสร้างความเข้มแข็งหมู่บ้าน/ชุมชนที่มี
การแพร่ระบาดยาเสพติด</t>
  </si>
  <si>
    <t>1.2.14 พัฒนาศักยภาพชุดปฏิบัติการปราบปราม
ยาเสพติด</t>
  </si>
  <si>
    <t>เริ่ม 25 ม.ค.61
สิ้นสุด 
25 มี.ค. 61</t>
  </si>
  <si>
    <t>น.ส.พัชริยา ศรีทอง</t>
  </si>
  <si>
    <t>(6) โครงการปรับปรุงซ่อมแซมป้ายประชาสัมพันธ์ทำเนียบผู้ดำรงตำแหน่งผู้ว่าราชการจังหวัดอ่างทองและป้ายผังที่ตั้งส่วนราชการประจำศาลากลางจังหวัดอ่างทอง</t>
  </si>
  <si>
    <t>(7) ค่าเช่าเครื่องถ่ายเอกสาร 1 เครื่องๆ ละ 12 เดือน เดือนละ 13,000บาท</t>
  </si>
  <si>
    <t>เริ่ม 20 ก.พ.61 สิ้นสุด 17 ต.ค.61</t>
  </si>
  <si>
    <t>คาดการเดือน มี.ค.</t>
  </si>
  <si>
    <t>ยกเลิก (ก.บ.ก.เห็นชอบ 
เมื่อวันที่ 12 ธ.ค.60)</t>
  </si>
  <si>
    <t>กิจกรรมก่อสร้างถนนคอนกรีตเสริมเหล็ก หมู่ที่ 4 
ตำบลรำมะสัก อำเภอโพธิ์ทอง เชื่อมต่อ หมู่ที่ 2 
ตำบลวังน้ำเย็น อำเภอแสวงหา จังหวัดอ่างทอง</t>
  </si>
  <si>
    <t xml:space="preserve"> - ลานอเนกประสงค์</t>
  </si>
  <si>
    <t>4.2.1 อ่างทองที่สุดอัศจรรย์</t>
  </si>
  <si>
    <t>สัญญาเริ่มต้น 
9 มี.ค. 61 สิ้นสุด
 7 เม.ย. 61</t>
  </si>
  <si>
    <t>นายธวัชชัย 
ตรีเข้ม</t>
  </si>
  <si>
    <t>เริ่ม 18 ต.ค. 60 สิ้นสุด 
14 ก.พ. 61 ขยาย 5 เม.ย.61</t>
  </si>
  <si>
    <t>เงินเหลือจ่าย</t>
  </si>
  <si>
    <t>(10) โครงการอำนวยการการจัดงานรัฐพิธีของจังหวัด ประจำปีงบประมาณ พ.ศ. 2561 ภายใต้โครงการเพิ่มประสิทธิภาพการบริหารจัดการยุทธศาสตร์การพัฒนาจังหวัดแบบบูรณาการจังหวัดอ่างทอง ประจำปีงบประมาณ พ.ศ. 2561</t>
  </si>
  <si>
    <t>(11) โครงการค่ายครอบครัว " สานใจไทยสู่ใจใต้ " รุ่นที่ 33 จังหวัดอ่างทอง</t>
  </si>
  <si>
    <t>เริ่ม 21 ต.ค. 60 สิ้นสุด 
18 เม.ย. 61
ขยาย 26 มิ.ย.61</t>
  </si>
  <si>
    <t>(7) โครงการท่องเที่ยว อิ่มท้องสุขใจ ส่งเสริมวิถีไทย แต่งกายย้อนยุค</t>
  </si>
  <si>
    <t>สำนักงานพัฒนาฝีมือแรงงานจังหวัดอ่างทอง</t>
  </si>
  <si>
    <t>สำนักงานพัฒนาฝีมือแรงงานจังหวัด</t>
  </si>
  <si>
    <t>(8) โครงการนำความรู้สู่เยาวชนอ่างทอง เฉลิมพระเกียรติ 86 พรรษา 
มหาราชินี</t>
  </si>
  <si>
    <t>สนง.เกษตรและสหกรณ์จังหวัดอ่างทอง</t>
  </si>
  <si>
    <t xml:space="preserve"> - ห้องสุขาผู้สูงอายุ   จำนวน 61 ห้อง</t>
  </si>
  <si>
    <t>บริษัท มาราธอน ประเทศไทย จำกัด</t>
  </si>
  <si>
    <t>บริษัท 
สหพัฒนาการแพทย์
เมดิคอน</t>
  </si>
  <si>
    <t>เริ่ม 25 ม.ค.61 สิ้นสุด 
26 มี.ค.61</t>
  </si>
  <si>
    <t>เริ่ม 17 ม.ค.61 สิ้นสุด 
17 มี.ค.61</t>
  </si>
  <si>
    <t>เริ่ม 21 มี.ค.61 สิ้นสุด 
7 ก.ค.61</t>
  </si>
  <si>
    <t>เริ่ม 27 มี.ค.61 สิ้นสุด 
26 เม.ย.61</t>
  </si>
  <si>
    <t>เริ่ม 30 มี.ค.61 สิ้นสุด 
28 มิ.ย.61</t>
  </si>
  <si>
    <t>เริ่ม 27 มี.ค.61 สิ้นสุด 
26 พ.ค.61</t>
  </si>
  <si>
    <t>ปรับแผนปฏิบัติงาน</t>
  </si>
  <si>
    <t>กิจกรรมก่อสร้างถนนคอนกรีตเสริมเหล็ก หมู่ที่ 6
ตำบลสามโก้ เชื่อมต่อหมู่ที่ 3 ตำบลมงคลธรรมนิมิต อำเภอสามโก้ จังหวัดอ่างทอง</t>
  </si>
  <si>
    <t>อำเภอสามโก้</t>
  </si>
  <si>
    <t>กิจกรรมก่อสร้างถนนคอนกรีตเสริมเหล็ก หมู่ที่ 1 
ตำบลราชสถิตย์ อำเภอไชโย จังหวัดอ่างทอง</t>
  </si>
  <si>
    <t>กิจกรรมก่อสร้างถนนคอนกรีตเสริมเหล็ก หมู่ที่ 2,3,4 ตำบลคลองขนาก เชื่อมต่อหมู่ที่ 5 ตำบลบางจัก 
อำเภอวิเศษชัยชาญ จังหวัดอ่างทอง</t>
  </si>
  <si>
    <t>นางสาวนันทวรรณ ทับทอง</t>
  </si>
  <si>
    <t>บริษัท เจทีพี ปู่สร้างเงิน คอนสตรัคชั่น</t>
  </si>
  <si>
    <t>โครงการ/กิจกรรม/รายการ</t>
  </si>
  <si>
    <t>งบประมาณที่ขออนุมัติ</t>
  </si>
  <si>
    <t>การลงพื้นที่ของทีมขับเคลื่อนการพัฒนาประเทศไทยตามโครงการไทยนิยม ยั่งยืน ระดับตำบล ครั้งที่ 3</t>
  </si>
  <si>
    <t>ค่าใช้จ่ายในการสนับสนุนการแก้ไขปัญหาความเดือดร้อนเร่งด่วนของประชาชนในจังหวัดอ่างทอง 
ประจำปีงบประมาณ พ.ศ. 2561 (งวดที่ 2) 
งบประมาณ 1,500,000 บาท (หนึ่งล้านห้าแสนบาทถ้วน)</t>
  </si>
  <si>
    <t>เบิกจ่าย
(ยืมเงิน)</t>
  </si>
  <si>
    <t>คงเหลือ 
(รอเบิก)</t>
  </si>
  <si>
    <t>หจก.ประสิทธิ์รุ่งเรือง</t>
  </si>
  <si>
    <t>ข้อมูล ณ วันที่ 24 เมษายน 2561</t>
  </si>
  <si>
    <t>กิจกรรมปรับปรุงซ่อมแซมถนนคอนกรีตเสริมเหล็กโดยการปูแอสฟัลท์ติกคอนกรีต สายที่ 3 (หมู่ที่ 4,5) 
ตำบลเอกราช อำเภอป่าโมก จังหวัดอ่างทอง</t>
  </si>
  <si>
    <t>อุปกรณ์ออกกำลังกาย จำนวน 34 ชุด</t>
  </si>
  <si>
    <t>รถพยาบาล (รถตู้) ปริมาตรกระบอกสูบไม่ต่ำกว่า 2,400 ซีซี จำนวน 1 คัน</t>
  </si>
  <si>
    <t>กล้องถ่ายภาพจอประสาทตาดิจิตอล จำนวน 1 เครื่อง</t>
  </si>
  <si>
    <t>เครื่องวัดความดัน BP digital จำนวน 873 เครื่อง</t>
  </si>
  <si>
    <t>หจก.ไทยเสรี ไทยประดิษฐ์</t>
  </si>
  <si>
    <t>เริ่ม 23 มี.ค.61 ถึง 21 มิ.ย.61</t>
  </si>
  <si>
    <t>เริ่ม 30 มี.ค.61 ถึง 28 มิ.ย.61</t>
  </si>
  <si>
    <t>บริษัท สมาร์ทเทคแอนด์แมท จำกัด</t>
  </si>
  <si>
    <t>หจก.เสนีย์ อ่างทองก่อสร้าง</t>
  </si>
  <si>
    <t xml:space="preserve"> - หจก.มหาราช ชัยมงคล
</t>
  </si>
  <si>
    <t xml:space="preserve"> - เริ่ม 23 มี.ค.61 ถึง 21 มิ.ย.61</t>
  </si>
  <si>
    <t xml:space="preserve">กิจกรรมที่ 1 ขบวนแห่ที่สุดสิ่งศักดิ์สิทธิ์
จาก ๗ อำเภอๆ ละ 40,000 บาท
</t>
  </si>
  <si>
    <t>กิจกรรมที่ ๒ ประกวดแข่งขันการทำอาหารประเภท ผัดไทย</t>
  </si>
  <si>
    <t>กิจกรรมที่ ๓ ประกวดหนูน้อยพี่ขุนเดช และหนูน้อยการเกด</t>
  </si>
  <si>
    <t>กิจกรรมที่ ๔ การประกวดรำวงย้อนยุค</t>
  </si>
  <si>
    <t>กิจกรรมที่ ๕ การประกวดร้องเพลงลูกทุ่ง</t>
  </si>
  <si>
    <t>กิจกรรมที่ ๖ การประกวดก่อพระเจดีย์ทราย</t>
  </si>
  <si>
    <t xml:space="preserve">กิจกรรมที่ ๗ การแข่งขันเรือยาว 
จาก ๗ อำเภอ ๑ อบจ.
</t>
  </si>
  <si>
    <t xml:space="preserve">ที่ทำการปกครองจังหวัดอ่างทอง
ที่ทำการปกครองอำเภอ 7อำเภอ
</t>
  </si>
  <si>
    <t>สำนักงานเกษตรและสหกรณ์จังหวัดอ่างทอง</t>
  </si>
  <si>
    <t>สำนักงานส่งเสริมการปกครองท้องถิ่นจังหวัดอ่างทอง</t>
  </si>
  <si>
    <t>สำนักงานการท่องเที่ยวและกีฬาจังหวัดอ่างทอง</t>
  </si>
  <si>
    <t xml:space="preserve">กิจกรรมที่ ๘ การแข่งขันเรือพาย 
(หัวใบ้ – ท้ายบอด)
</t>
  </si>
  <si>
    <t>กิจกรรมที่ ๙ การแข่งขันมวยทะเล</t>
  </si>
  <si>
    <t xml:space="preserve">กิจกรรมที่ ๑๐ การวิ่งมินิมาราธอน 
(แต่งกายชุดไทยย้อนยุค)
</t>
  </si>
  <si>
    <t>กิจกรรมที่ ๑๑ การประกวดส้มตำลีลา</t>
  </si>
  <si>
    <t>กิจกรรมที่ ๑๒ การแสดงดนตรีหน้าสวน</t>
  </si>
  <si>
    <t>กิจกรรมที่ ๑๓ การแสดงเพลงพื้นบ้าน</t>
  </si>
  <si>
    <t>กิจกรรมที่ ๑๔ การแสดงลิเกเด็ก</t>
  </si>
  <si>
    <t>กิจกรรมที่ ๑๕ การแสดงละเล่นพื้นบ้าน</t>
  </si>
  <si>
    <t>กิจกรรมที่ ๑๖ กิจกรรมตามหาออเจ้า</t>
  </si>
  <si>
    <t>กิจกรรมที่ ๑๗ แถลงข่าว</t>
  </si>
  <si>
    <t>สำนักงานพัฒนาชุมชนจังหวัดอ่างทอง</t>
  </si>
  <si>
    <t xml:space="preserve">กิจกรรมที่ ๒๐ พิธีการเปิดงาน และ
กองอำนวยการบริหารการจัดงาน
</t>
  </si>
  <si>
    <t>กิจกรรมที่ ๒๒ รถราง</t>
  </si>
  <si>
    <t xml:space="preserve">จ้างเหมาจัดงานปั่น อ่างทอง 5 ที่สุดสิ่งศักดิ์สิทธิ์  </t>
  </si>
  <si>
    <t>สำนักงานประชาสัมพันธ์จังหวัด</t>
  </si>
  <si>
    <t>กิจกรรมที่ ๑๘ การประชาสัมพันธ์
-สปอตวิทยุ
-ค่าจัดทำป้ายประชาสัมพันธ์/พร้อมติดตั้ง    
-รถแห่ จำนวน 3 คัน 5 วัน</t>
  </si>
  <si>
    <t xml:space="preserve">กิจกรรมที่ ๑๙ จัดการเกี่ยวกับสถานที่ 
- จ้างเหมาเช่าเต๊นท์สำหรับจัดกิจกรรม
- จ้างเหมาติดตั้งระบบไฟฟ้า พร้อมปลั๊ก
 ไฟส่องสว่างและเครื่องปั่นไฟ 
- จ้างเหมาติดตั้งเครื่องเสียง 
- ค่าตกแต่งสถานที่ 
- ค่าวัสดุอุปกรณ์ </t>
  </si>
  <si>
    <t>ที่ทำการปกครองจังหวัดอ่างทอง
สำนักงานการท่องเที่ยวและกีฬาจังหวัดอ่างทอง</t>
  </si>
  <si>
    <t>สำนักงานสถิติจังหวัดอ่างทอง</t>
  </si>
  <si>
    <t>กิจกรรมที่ ๒๑ การติดตามประเมินผล 
จำนวน ๔ วัน</t>
  </si>
  <si>
    <t>(12) โครงการเจริญพระพุทธมนต์เฉลิมพระเกียรติ ถวายเป็นพระราชกุศลและถวายพระพรชัยมงคลแด่สมเด็จพระเจ้าอยู่หัวมหาวชิราลงกรณ์บดินทรเทพยวรางกูร และสมเด็จพระนางเจ้าสิริกิติ์พระบรมราชินีนาถในรัชกาลที่ 9 จังหวัดอ่างทอง</t>
  </si>
  <si>
    <t>(13) โครงการท้องถิ่นสะอาด " ปราศจากขยะ " ของจังหวัดอ่างทอง ประจำปี พ.ศ. 2561</t>
  </si>
  <si>
    <t>สนง.ส่งเสริมการปกครองท้องถิ่นจังหวัดอ่างทอง</t>
  </si>
  <si>
    <t>3.1.2 ส่งเสริมการผลิตอาหารปลอดภัย "โรงเรียนเกษตรกรทำนา"</t>
  </si>
  <si>
    <t xml:space="preserve"> - ค่าอาหารสำหรับผู้เข้าร่วมเวทีประชาคม 1 มื้อๆ ละ 40 บาท จำนวน 63 หมู่บ้านๆ ละ 100 คน</t>
  </si>
  <si>
    <t xml:space="preserve"> - ค่าอาหารสำหรับผู้เข้าร่วมเวทีประชาคม 1 มื้อๆ ละ 40 บาท จำนวน 30 หมู่บ้านๆ ละ 100 คน</t>
  </si>
  <si>
    <t xml:space="preserve"> - ค่าอาหารสำหรับผู้เข้าร่วมเวทีประชาคม 1 มื้อๆ ละ 40 บาท จำนวน 19 หมู่บ้านๆ ละ 100 คน</t>
  </si>
  <si>
    <t xml:space="preserve"> - ค่าอาหารสำหรับผู้เข้าร่วมเวทีประชาคม 1 มื้อๆ ละ 40 บาท จำนวน 26 หมู่บ้านๆ ละ 100 คน</t>
  </si>
  <si>
    <t xml:space="preserve"> - ค่าอาหารสำหรับผู้เข้าร่วมเวทีประชาคม 1 มื้อๆ ละ 40 บาท จำนวน 54 หมู่บ้านๆ ละ 100 คน</t>
  </si>
  <si>
    <t xml:space="preserve"> - ค่าอาหารสำหรับผู้เข้าร่วมเวทีประชาคม 1 มื้อๆ ละ 40 บาท จำนวน 24 หมู่บ้านละ 100 คน</t>
  </si>
  <si>
    <t xml:space="preserve"> - ค่าอาหารสำหรับผู้เข้าร่วมเวทีประชาคม 1 มื้อๆ ละ 40 บาท จำนวน 52 หมู่บ้านละ 100 คน</t>
  </si>
  <si>
    <t>กิจกรรมขอปรับแผน</t>
  </si>
  <si>
    <t xml:space="preserve">ปรับปรุงบึงสีบัวทอง พร้อมอาคารประกอบ 
ตำบลสีบัวทอง อำเภอแสวงหา จังหวัดอ่างทอง
</t>
  </si>
  <si>
    <t xml:space="preserve">ปรับปรุงภูมิทัศน์และสิ่งอำนวยความสะดวก 
ณ วัดขุนอินทประมูล
- ก่อสร้างถนน คสล. พร้อมไฟฟ้าส่องสว่าง   
</t>
  </si>
  <si>
    <t>เริ่ม 1 พ.ค. 61
สิ้นสุด 
31 พ.ค. 61</t>
  </si>
  <si>
    <t>หจก.ดิวัน คอนสตัคชั่น สุพรรณบุรี</t>
  </si>
  <si>
    <t>ก่อสร้างลานอเนกประสงค์</t>
  </si>
  <si>
    <t>โครงการรักษาสมดุลธรรมชาติสิ่งแวดล้อม และพลังงาน</t>
  </si>
  <si>
    <t xml:space="preserve"> โครงการส่งเสริมการประชาสัมพันธ์เชิงรุก 
ด้านการท่องเที่ยว</t>
  </si>
  <si>
    <t>จัดทำป้ายบิลบอร์ดประชาสัมพันธ์งานรำลึกประพาสต้นล้นเกล้า รัชกาลที่ 5 งานมหกรรมหลองนานาชาติ</t>
  </si>
  <si>
    <t xml:space="preserve"> โครงการเสริมสร้างความปลอดภัยในชีวิตและทรัพย์สิน</t>
  </si>
  <si>
    <t xml:space="preserve">ค่ายปรับเปลี่ยนพฤติกรรม (ศูนย์ขวัญแผ่นดิน) </t>
  </si>
  <si>
    <t xml:space="preserve">ปรับปรุงภูมิทัศน์บริเวณหน้าที่ว่าการอำเภอวิเศษชัยชาญ </t>
  </si>
  <si>
    <t>อำเภอวิเศษ
ชัยชาญ</t>
  </si>
  <si>
    <t>สำนักงานประชาสัมพันธ์จังหวัดอ่างทอง</t>
  </si>
  <si>
    <t>ศอ.ปส.จ.อท.</t>
  </si>
  <si>
    <t>จัดซื้อชุดตรวจ วัดคุณภาพน้ำภาคสนาม</t>
  </si>
  <si>
    <t>(9) โครงการปรับปรุงซ่อมแซมป้ายประชาสัมพันธ์ทำเนียบผู้ดำรงตำแหน่งผู้ว่าราชการจังหวัดอ่างทอง</t>
  </si>
  <si>
    <t>ประเด็นยุทธศาสตร์ที่ 2 สร้างมูลค่าเพิ่มทางการท่องเที่ยวจากฐานความรู้ทางประวัติศาสตร์ ศิลปวัฒนธรรม และภูมิปัญญาท้องถิ่น</t>
  </si>
  <si>
    <t>โครงการส่งเสริมการตลาดและประชาสัมพันธ์การท่องเที่ยวเชิงรุก</t>
  </si>
  <si>
    <t xml:space="preserve">ปรับปรุงหนองระดำพร้อมอาคารประกอบ ตำบลหัวไผ่ อำเภอเมืองอ่างทอง จังหวัดอ่างทอง
</t>
  </si>
  <si>
    <t>2. โครงการปรับปรุงซ่อมแซมระบบท่อส่งน้ำประปาหมู่บ้าน 
หมู่ที่ 1 ตำบลบางเจ้าฉ่า อำเภอโพธิ์ทอง จังหวัดอ่างทอง</t>
  </si>
  <si>
    <t>3. โครงการปรับปรุงซ่อมแซมระบบท่อส่งน้ำประปาหมู่บ้าน 
หมู่ที่ 8 ตำบลบางเจ้าฉ่า อำเภอโพธิ์ทอง จังหวัดอ่างทอง</t>
  </si>
  <si>
    <t>(10) โครงการจัดทำป้ายประชาสัมพันธ์ " เชิญร่วมประกวดแต่งกายผ้าไทยย้อนยุคสมัยอยุธยา รัตนโกสินทร์ "</t>
  </si>
  <si>
    <t>(14) โครงการเพิ่มประสิทธิภาพการบริหารจัดการด้านเศรษฐกิจการเงินการคลัง การบัญชี และการจัดซื้อจัดจ้างหน่วยงานของรัฐในจังหวัดอ่างทอง</t>
  </si>
  <si>
    <t xml:space="preserve"> - ที่ทำการปกครองจังหวัด
 - อำเภอสามโก้
</t>
  </si>
  <si>
    <t>บัญชีโครงการขอรับการสนับสนุนงบประมาณ</t>
  </si>
  <si>
    <t>งบกลาง รายการสำรองจ่ายเงินเพื่อฉุกเฉินหรือกรณีจำเป็น</t>
  </si>
  <si>
    <t>ในอำนาจของรองนายกรัฐมนตรี (พลเอก ประวิตร วงษ์สุวรรณ) ประจำปีงบประมาณ พ.ศ. 2561</t>
  </si>
  <si>
    <t>จังหวัดอ่างทอง</t>
  </si>
  <si>
    <t>รายการงาน</t>
  </si>
  <si>
    <t>ได้รับจัดสรร</t>
  </si>
  <si>
    <t>ซ่อมสร้างถนน คสล. สายทางแยกทางหลวงชนบท 3195 – 
คลองวัดเขียน, 3195 คันคลองชลประทาน – คลองตาม่วง 
และ 4024 – คลองวัดเขียน ตำบลศาลเจ้าโรงทอง 
อำเภอวิเศษชัยชาญ</t>
  </si>
  <si>
    <t>ขุดลอกคลองบ้านเบิก ตำบลตรีณรงค์ อำเภอไชโย 
จังหวัดอ่างทอง</t>
  </si>
  <si>
    <t>ซ่องแซมและปรับปรุงถนน คสล. หมู่ที่ 4 ตำบลโผงเผง 
อำเภอป่าโมก จังหวัดอ่างทอง</t>
  </si>
  <si>
    <t>วางท่อระบายน้ำ ขนาด 1.00 เมตร พร้อมคันหิน
และทางเท้า บริเวณหน้าโรงพยาบาลอ่างทอง</t>
  </si>
  <si>
    <t>สถานะ</t>
  </si>
  <si>
    <t>สัญญาเริ่มต้น-สิ้นสุด</t>
  </si>
  <si>
    <t>เริ่ม 31 พ.ค.61 สิ้นสุด 
28 ส.ค.61</t>
  </si>
  <si>
    <t>เริ่ม 31 พ.ค.61 สิ้นสุด 
29 ส.ค.61</t>
  </si>
  <si>
    <t>หจก.ม่วงเตี้ยรุ่งเรือง</t>
  </si>
  <si>
    <t>เริ่ม 31 พ.ค.61 สิ้นสุด 
30 ก.ค.61</t>
  </si>
  <si>
    <t>นายมงคล แก้วพูลศรี</t>
  </si>
  <si>
    <t>บ.รถรางชมเมืองสุโขทัย จำกัด</t>
  </si>
  <si>
    <t>ครั้งที่ 3 เบิกค่าอาหาร 16 หมู่บ้าน 58280 ยังไม่ได้รวมในตาราง 6 มิ.ย.61</t>
  </si>
  <si>
    <t>ครั้งที่ 3 เบิกค่าอาหาร 30หมู่บ้าน 104240 ค่าวิทยากร 150900 ยังไม่ได้รวมในตาราง 6 มิ.ย.61</t>
  </si>
  <si>
    <t>(1) ดำเนินการทบทวนแผนพัฒนาจังหวัดอ่างทอง (4ปี) 
พ.ศ. 2561-2564 (ทบทวน ปี 2562/2563)</t>
  </si>
  <si>
    <t>(2) ดำเนินการจัดทำแผนปฏิบัติราชการประจำปีของจังหวัดอ่างทองปี 2562/2563</t>
  </si>
  <si>
    <t>หจก.สุรัตน์เฟอร์นิเจอร์กระจกอลูมิเนียม</t>
  </si>
  <si>
    <t xml:space="preserve">2.1 ปรับปรุงภูมิทัศน์และสิ่งอำนวยความสะดวก แก่นักท่องเที่ยวณ วัดขุนอินทประมูล </t>
  </si>
  <si>
    <t>3.1 พัฒนาผลิตภัณฑ์ของฝากของที่ระลึกกลุ่มจังหวัด</t>
  </si>
  <si>
    <t>4.1 พัฒนาเครือข่ายการท่องเที่ยวชุมชน</t>
  </si>
  <si>
    <t>สนง.ทรัพยากรธรรมชาติและสิ่งแวดล้อมจังหวัดอ่างทอง</t>
  </si>
  <si>
    <t xml:space="preserve">(15) โครงการจิตอาสาร่วมใจ ปลูกต้นไม้ถวายในหลวง เนื่องในโอกาสมหามงคลเฉลิมพระชนมพรรษา 66 พรรษา สมเด็จพระเจ้าอยู่หัวมหาวชิราลงกรณ บดินทรเทพยวรางกูร 28 กรกฎาคม 2561 </t>
  </si>
  <si>
    <t>ยืมค่าอบรม 11-12</t>
  </si>
  <si>
    <t>8 มิ.ย.61 ถึง 5 ธ.ค.61</t>
  </si>
  <si>
    <t>งบประมาณ 88,683,000 บาท (แปดสิบแปดล้านหกแสนแปดหมื่นสามพันบาทถ้วน)</t>
  </si>
  <si>
    <t>เริ่ม 25 มิ.ย.61 สิ้นสุด 24 ส.ค.61</t>
  </si>
  <si>
    <t>หจก.พุ่มพฤกษ์ ก่อสร้าง</t>
  </si>
  <si>
    <t>หจก.วีเอส แม็ชชิ่ง</t>
  </si>
  <si>
    <t>รอผลอุทธรณ์จากกรมบัญชีกลาง</t>
  </si>
  <si>
    <t>สนง.ทรัพยากรธรรม
ชาติและสิ่งแวดล้อมจังหวัด</t>
  </si>
  <si>
    <t>1.1 Road Show การท่องเที่ยวและสุดยอด OTOP</t>
  </si>
  <si>
    <t>(11) โครงการผลิตสื่อประชาสัมพันธ์ประวัติศาสตร์ สถานที่สำคัญจังหวัดอ่างทอง</t>
  </si>
  <si>
    <t>สนง.ประชาสัมพันธ์</t>
  </si>
  <si>
    <t>(16) โครงการเพิ่มประสิทธิภาพการบริหารงานก่อสร้าง จังหวัดอ่างทอง</t>
  </si>
  <si>
    <t>สนง.จังหวัดอ่างทอง
(หน่วยงานตรวจสอบภายใน)</t>
  </si>
  <si>
    <t>เริ่ม 28 ก.ค.61 สิ้นสุด 
27 ส.ค.61</t>
  </si>
  <si>
    <t>บ.สหพัฒนาการแพทย์ เมดิคอน จำกัด</t>
  </si>
  <si>
    <t xml:space="preserve"> - จัดซื้อที่นอนลม จำนวน 260 ผืน
</t>
  </si>
  <si>
    <t>บ.นิวอาย จำกัด</t>
  </si>
  <si>
    <t>บ.SR เมดิคอน ซับพลาย จำกัด</t>
  </si>
  <si>
    <t>เครื่องวัดความดัน BP digital 222 เครื่อง</t>
  </si>
  <si>
    <t>เตียงผู้ป่วยปรับระดับได้ จำนวน 18 เตียง</t>
  </si>
  <si>
    <t>เครื่องดูดเสมหะแบบเคลื่อนที่ได้ จำนวน 82 เครื่อง</t>
  </si>
  <si>
    <t xml:space="preserve">ปรับปรุงหนองระหานใหญ่ พร้อมอาคารประกอบ ตำบลไชยภูมิ อำเภอไชโย </t>
  </si>
  <si>
    <t>จัดทำสื่อประชาสัมพันธ์เชิงรุก
รายการ : ประชาสัมพันธ์แหล่งท่องเที่ยวเชิงเกษตรและแหล่งเรียนรู้ตามโครงการพระราชดำริ100 คน</t>
  </si>
  <si>
    <t>ข้อมูล ณ วันที่ 12 กรกฎาคม 2561</t>
  </si>
  <si>
    <t>26 มิ.ย.61 ถึง 24 ก.ย.61</t>
  </si>
  <si>
    <t>เปิดซอง</t>
  </si>
  <si>
    <t>16 มิ.ย.61 ถึง 3 ก.ย.61</t>
  </si>
  <si>
    <t>(17) โครงการอำนวยการจัดงานวันเฉลิมพระชนมพรรษาสมเด็จพระเจ้าอยู่หัว 66 พรรษา 28 กรกฎาคม 2561 (ขอใช้ข้อ 5.1 อีก 353,590 บาท รวมทั้งสิ้น 485,045 บาท)</t>
  </si>
  <si>
    <t>(12) โครงการอำนวยการจัดงานวันเฉลิมพระชนมพรรษาสมเด็จพระเจ้าอยู่หัว 66 พรรษา 28 กรกฎาคม 2561</t>
  </si>
  <si>
    <t>วันที่ 19 กรกฎาคม 2561</t>
  </si>
  <si>
    <t>ข้อมูล ณ วันที่ 23 กรกฎาคม 2561</t>
  </si>
  <si>
    <t>เริ่ม 5 เม.ย.61 สิ้นสุด 
30 พ.ย.61</t>
  </si>
  <si>
    <t>เริ่ม 10 ก.ค.61 สิ้นสุด 
8 ก.ย.61</t>
  </si>
  <si>
    <t>บ.อาร์เอ็กซ์ จำกัด</t>
  </si>
  <si>
    <t>เริ่ม 11 ก.ค.61 สิ้นสุด
 7 พ.ย.61</t>
  </si>
  <si>
    <t>เริ่ม 11 ก.ค.61 สิ้นสุด 8 ต.ค.61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</si>
</sst>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_-;\-* #,##0.00_-;_-* &quot;-&quot;_-;_-@_-"/>
  </numFmts>
  <fonts count="4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1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b/>
      <u/>
      <sz val="16"/>
      <name val="TH SarabunPSK"/>
      <family val="2"/>
    </font>
    <font>
      <b/>
      <sz val="11"/>
      <name val="TH SarabunPSK"/>
      <family val="2"/>
    </font>
    <font>
      <sz val="12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6"/>
      <color theme="0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8"/>
      <name val="TH SarabunIT๙"/>
      <family val="2"/>
    </font>
    <font>
      <b/>
      <sz val="14"/>
      <color theme="0"/>
      <name val="TH SarabunPSK"/>
      <family val="2"/>
    </font>
    <font>
      <sz val="14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TH SarabunIT๙"/>
      <family val="2"/>
    </font>
    <font>
      <b/>
      <sz val="14"/>
      <color rgb="FFFF0000"/>
      <name val="TH SarabunPSK"/>
      <family val="2"/>
    </font>
    <font>
      <b/>
      <sz val="13"/>
      <color theme="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IT๙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IT๙"/>
      <family val="2"/>
    </font>
    <font>
      <sz val="16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Angsana New"/>
      <family val="1"/>
    </font>
    <font>
      <sz val="16"/>
      <color rgb="FF7030A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47">
    <xf numFmtId="0" fontId="0" fillId="0" borderId="0" xfId="0"/>
    <xf numFmtId="0" fontId="11" fillId="4" borderId="0" xfId="0" applyFont="1" applyFill="1" applyAlignment="1">
      <alignment vertical="top" wrapText="1"/>
    </xf>
    <xf numFmtId="0" fontId="10" fillId="4" borderId="0" xfId="1" applyFont="1" applyFill="1" applyAlignment="1">
      <alignment vertical="top"/>
    </xf>
    <xf numFmtId="0" fontId="11" fillId="4" borderId="0" xfId="1" applyFont="1" applyFill="1" applyAlignment="1">
      <alignment horizontal="center" vertical="top"/>
    </xf>
    <xf numFmtId="0" fontId="11" fillId="4" borderId="0" xfId="1" applyFont="1" applyFill="1" applyBorder="1" applyAlignment="1">
      <alignment horizontal="center" vertical="top"/>
    </xf>
    <xf numFmtId="0" fontId="11" fillId="4" borderId="0" xfId="1" applyFont="1" applyFill="1" applyAlignment="1">
      <alignment horizontal="center" vertical="center"/>
    </xf>
    <xf numFmtId="41" fontId="10" fillId="4" borderId="11" xfId="0" applyNumberFormat="1" applyFont="1" applyFill="1" applyBorder="1" applyAlignment="1">
      <alignment horizontal="center" vertical="center" wrapText="1"/>
    </xf>
    <xf numFmtId="41" fontId="10" fillId="4" borderId="10" xfId="1" applyNumberFormat="1" applyFont="1" applyFill="1" applyBorder="1" applyAlignment="1">
      <alignment horizontal="left" vertical="top"/>
    </xf>
    <xf numFmtId="41" fontId="10" fillId="4" borderId="10" xfId="1" applyNumberFormat="1" applyFont="1" applyFill="1" applyBorder="1" applyAlignment="1">
      <alignment horizontal="left" vertical="top" wrapText="1"/>
    </xf>
    <xf numFmtId="0" fontId="10" fillId="4" borderId="13" xfId="1" applyFont="1" applyFill="1" applyBorder="1" applyAlignment="1">
      <alignment horizontal="center" vertical="top"/>
    </xf>
    <xf numFmtId="0" fontId="11" fillId="4" borderId="10" xfId="0" applyFont="1" applyFill="1" applyBorder="1" applyAlignment="1">
      <alignment horizontal="left" vertical="top"/>
    </xf>
    <xf numFmtId="41" fontId="10" fillId="4" borderId="10" xfId="1" applyNumberFormat="1" applyFont="1" applyFill="1" applyBorder="1" applyAlignment="1">
      <alignment horizontal="center" vertical="top"/>
    </xf>
    <xf numFmtId="0" fontId="10" fillId="4" borderId="12" xfId="1" applyFont="1" applyFill="1" applyBorder="1" applyAlignment="1">
      <alignment horizontal="center" vertical="top"/>
    </xf>
    <xf numFmtId="0" fontId="10" fillId="4" borderId="5" xfId="1" applyFont="1" applyFill="1" applyBorder="1" applyAlignment="1">
      <alignment horizontal="center" vertical="top"/>
    </xf>
    <xf numFmtId="41" fontId="11" fillId="4" borderId="11" xfId="0" applyNumberFormat="1" applyFont="1" applyFill="1" applyBorder="1" applyAlignment="1">
      <alignment vertical="top"/>
    </xf>
    <xf numFmtId="41" fontId="11" fillId="4" borderId="8" xfId="0" applyNumberFormat="1" applyFont="1" applyFill="1" applyBorder="1" applyAlignment="1">
      <alignment vertical="top"/>
    </xf>
    <xf numFmtId="0" fontId="2" fillId="4" borderId="10" xfId="0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horizontal="center" vertical="top"/>
    </xf>
    <xf numFmtId="0" fontId="11" fillId="4" borderId="9" xfId="1" applyFont="1" applyFill="1" applyBorder="1" applyAlignment="1">
      <alignment horizontal="left" vertical="top" wrapText="1"/>
    </xf>
    <xf numFmtId="41" fontId="11" fillId="4" borderId="12" xfId="0" applyNumberFormat="1" applyFont="1" applyFill="1" applyBorder="1" applyAlignment="1">
      <alignment vertical="top"/>
    </xf>
    <xf numFmtId="0" fontId="2" fillId="4" borderId="10" xfId="0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top"/>
    </xf>
    <xf numFmtId="41" fontId="11" fillId="4" borderId="10" xfId="0" applyNumberFormat="1" applyFont="1" applyFill="1" applyBorder="1" applyAlignment="1">
      <alignment vertical="top"/>
    </xf>
    <xf numFmtId="0" fontId="10" fillId="4" borderId="2" xfId="1" applyFont="1" applyFill="1" applyBorder="1" applyAlignment="1">
      <alignment horizontal="center" vertical="top"/>
    </xf>
    <xf numFmtId="0" fontId="10" fillId="4" borderId="3" xfId="1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horizontal="center" vertical="top"/>
    </xf>
    <xf numFmtId="0" fontId="11" fillId="4" borderId="12" xfId="1" applyFont="1" applyFill="1" applyBorder="1" applyAlignment="1">
      <alignment horizontal="center" vertical="top"/>
    </xf>
    <xf numFmtId="0" fontId="11" fillId="4" borderId="5" xfId="1" applyFont="1" applyFill="1" applyBorder="1" applyAlignment="1">
      <alignment horizontal="center" vertical="top"/>
    </xf>
    <xf numFmtId="0" fontId="11" fillId="4" borderId="13" xfId="1" applyFont="1" applyFill="1" applyBorder="1" applyAlignment="1">
      <alignment horizontal="center" vertical="top"/>
    </xf>
    <xf numFmtId="0" fontId="11" fillId="4" borderId="6" xfId="1" applyFont="1" applyFill="1" applyBorder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41" fontId="11" fillId="4" borderId="0" xfId="1" applyNumberFormat="1" applyFont="1" applyFill="1" applyAlignment="1">
      <alignment horizontal="center" vertical="top"/>
    </xf>
    <xf numFmtId="0" fontId="11" fillId="4" borderId="0" xfId="1" applyFont="1" applyFill="1" applyAlignment="1">
      <alignment horizontal="left" vertical="top"/>
    </xf>
    <xf numFmtId="0" fontId="10" fillId="4" borderId="12" xfId="1" applyFont="1" applyFill="1" applyBorder="1" applyAlignment="1">
      <alignment vertical="top" wrapText="1"/>
    </xf>
    <xf numFmtId="0" fontId="11" fillId="4" borderId="5" xfId="1" applyFont="1" applyFill="1" applyBorder="1" applyAlignment="1">
      <alignment vertical="top" wrapText="1"/>
    </xf>
    <xf numFmtId="41" fontId="11" fillId="4" borderId="11" xfId="1" applyNumberFormat="1" applyFont="1" applyFill="1" applyBorder="1" applyAlignment="1">
      <alignment horizontal="left" vertical="top"/>
    </xf>
    <xf numFmtId="0" fontId="10" fillId="4" borderId="5" xfId="1" applyFont="1" applyFill="1" applyBorder="1" applyAlignment="1">
      <alignment vertical="top"/>
    </xf>
    <xf numFmtId="0" fontId="10" fillId="4" borderId="1" xfId="1" applyFont="1" applyFill="1" applyBorder="1" applyAlignment="1">
      <alignment vertical="top" wrapText="1"/>
    </xf>
    <xf numFmtId="0" fontId="10" fillId="4" borderId="12" xfId="1" applyFont="1" applyFill="1" applyBorder="1" applyAlignment="1">
      <alignment vertical="top"/>
    </xf>
    <xf numFmtId="0" fontId="11" fillId="4" borderId="12" xfId="1" applyFont="1" applyFill="1" applyBorder="1" applyAlignment="1">
      <alignment vertical="top"/>
    </xf>
    <xf numFmtId="0" fontId="11" fillId="4" borderId="5" xfId="1" applyFont="1" applyFill="1" applyBorder="1" applyAlignment="1">
      <alignment vertical="top"/>
    </xf>
    <xf numFmtId="41" fontId="11" fillId="4" borderId="10" xfId="2" applyNumberFormat="1" applyFont="1" applyFill="1" applyBorder="1" applyAlignment="1">
      <alignment vertical="top"/>
    </xf>
    <xf numFmtId="41" fontId="10" fillId="4" borderId="11" xfId="0" applyNumberFormat="1" applyFont="1" applyFill="1" applyBorder="1" applyAlignment="1">
      <alignment vertical="top"/>
    </xf>
    <xf numFmtId="41" fontId="10" fillId="4" borderId="8" xfId="0" applyNumberFormat="1" applyFont="1" applyFill="1" applyBorder="1" applyAlignment="1">
      <alignment vertical="top"/>
    </xf>
    <xf numFmtId="0" fontId="4" fillId="4" borderId="10" xfId="0" applyFont="1" applyFill="1" applyBorder="1" applyAlignment="1">
      <alignment horizontal="center" vertical="center" wrapText="1"/>
    </xf>
    <xf numFmtId="41" fontId="11" fillId="4" borderId="10" xfId="1" applyNumberFormat="1" applyFont="1" applyFill="1" applyBorder="1" applyAlignment="1">
      <alignment horizontal="center" vertical="top"/>
    </xf>
    <xf numFmtId="41" fontId="10" fillId="4" borderId="10" xfId="0" applyNumberFormat="1" applyFont="1" applyFill="1" applyBorder="1" applyAlignment="1">
      <alignment vertical="top"/>
    </xf>
    <xf numFmtId="41" fontId="11" fillId="4" borderId="11" xfId="1" applyNumberFormat="1" applyFont="1" applyFill="1" applyBorder="1" applyAlignment="1">
      <alignment horizontal="center" vertical="top"/>
    </xf>
    <xf numFmtId="41" fontId="11" fillId="4" borderId="7" xfId="1" applyNumberFormat="1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center" wrapText="1"/>
    </xf>
    <xf numFmtId="41" fontId="14" fillId="4" borderId="10" xfId="1" applyNumberFormat="1" applyFont="1" applyFill="1" applyBorder="1" applyAlignment="1">
      <alignment horizontal="center" vertical="center" wrapText="1"/>
    </xf>
    <xf numFmtId="43" fontId="10" fillId="4" borderId="10" xfId="37" applyFont="1" applyFill="1" applyBorder="1" applyAlignment="1">
      <alignment horizontal="left" vertical="top"/>
    </xf>
    <xf numFmtId="43" fontId="10" fillId="4" borderId="10" xfId="37" applyFont="1" applyFill="1" applyBorder="1" applyAlignment="1">
      <alignment horizontal="left" vertical="top" wrapText="1"/>
    </xf>
    <xf numFmtId="43" fontId="11" fillId="4" borderId="11" xfId="37" applyFont="1" applyFill="1" applyBorder="1" applyAlignment="1">
      <alignment horizontal="left" vertical="top"/>
    </xf>
    <xf numFmtId="43" fontId="11" fillId="4" borderId="10" xfId="37" applyFont="1" applyFill="1" applyBorder="1" applyAlignment="1">
      <alignment horizontal="center" vertical="top"/>
    </xf>
    <xf numFmtId="43" fontId="11" fillId="4" borderId="8" xfId="37" applyFont="1" applyFill="1" applyBorder="1" applyAlignment="1">
      <alignment vertical="top"/>
    </xf>
    <xf numFmtId="43" fontId="11" fillId="4" borderId="12" xfId="37" applyFont="1" applyFill="1" applyBorder="1" applyAlignment="1">
      <alignment vertical="top"/>
    </xf>
    <xf numFmtId="43" fontId="10" fillId="4" borderId="8" xfId="37" applyFont="1" applyFill="1" applyBorder="1" applyAlignment="1">
      <alignment vertical="top"/>
    </xf>
    <xf numFmtId="43" fontId="11" fillId="4" borderId="13" xfId="37" applyFont="1" applyFill="1" applyBorder="1" applyAlignment="1">
      <alignment vertical="top"/>
    </xf>
    <xf numFmtId="43" fontId="10" fillId="4" borderId="10" xfId="37" applyFont="1" applyFill="1" applyBorder="1" applyAlignment="1">
      <alignment vertical="top"/>
    </xf>
    <xf numFmtId="43" fontId="10" fillId="4" borderId="11" xfId="37" applyFont="1" applyFill="1" applyBorder="1" applyAlignment="1">
      <alignment vertical="top"/>
    </xf>
    <xf numFmtId="43" fontId="11" fillId="4" borderId="10" xfId="37" applyFont="1" applyFill="1" applyBorder="1" applyAlignment="1">
      <alignment vertical="top" wrapText="1"/>
    </xf>
    <xf numFmtId="43" fontId="11" fillId="4" borderId="11" xfId="37" applyFont="1" applyFill="1" applyBorder="1" applyAlignment="1">
      <alignment horizontal="center" vertical="top"/>
    </xf>
    <xf numFmtId="43" fontId="10" fillId="4" borderId="10" xfId="37" applyFont="1" applyFill="1" applyBorder="1" applyAlignment="1">
      <alignment horizontal="center" vertical="top"/>
    </xf>
    <xf numFmtId="43" fontId="11" fillId="4" borderId="10" xfId="37" applyFont="1" applyFill="1" applyBorder="1" applyAlignment="1">
      <alignment vertical="top"/>
    </xf>
    <xf numFmtId="41" fontId="12" fillId="4" borderId="1" xfId="1" applyNumberFormat="1" applyFont="1" applyFill="1" applyBorder="1" applyAlignment="1">
      <alignment vertical="top"/>
    </xf>
    <xf numFmtId="41" fontId="9" fillId="4" borderId="1" xfId="1" applyNumberFormat="1" applyFont="1" applyFill="1" applyBorder="1" applyAlignment="1">
      <alignment vertical="top"/>
    </xf>
    <xf numFmtId="15" fontId="10" fillId="4" borderId="0" xfId="1" applyNumberFormat="1" applyFont="1" applyFill="1" applyAlignment="1">
      <alignment horizontal="center" vertical="top"/>
    </xf>
    <xf numFmtId="17" fontId="10" fillId="4" borderId="0" xfId="1" applyNumberFormat="1" applyFont="1" applyFill="1" applyAlignment="1">
      <alignment horizontal="center" vertical="top"/>
    </xf>
    <xf numFmtId="0" fontId="10" fillId="4" borderId="12" xfId="29" applyFont="1" applyFill="1" applyBorder="1" applyAlignment="1">
      <alignment horizontal="center" vertical="top"/>
    </xf>
    <xf numFmtId="41" fontId="10" fillId="4" borderId="9" xfId="0" applyNumberFormat="1" applyFont="1" applyFill="1" applyBorder="1" applyAlignment="1">
      <alignment horizontal="right" vertical="top"/>
    </xf>
    <xf numFmtId="41" fontId="10" fillId="4" borderId="6" xfId="0" applyNumberFormat="1" applyFont="1" applyFill="1" applyBorder="1" applyAlignment="1">
      <alignment horizontal="right" vertical="top"/>
    </xf>
    <xf numFmtId="0" fontId="2" fillId="4" borderId="10" xfId="29" applyFont="1" applyFill="1" applyBorder="1" applyAlignment="1">
      <alignment horizontal="center" vertical="center" wrapText="1"/>
    </xf>
    <xf numFmtId="41" fontId="10" fillId="4" borderId="10" xfId="0" applyNumberFormat="1" applyFont="1" applyFill="1" applyBorder="1" applyAlignment="1">
      <alignment horizontal="right" vertical="top"/>
    </xf>
    <xf numFmtId="43" fontId="10" fillId="4" borderId="10" xfId="37" applyFont="1" applyFill="1" applyBorder="1" applyAlignment="1">
      <alignment horizontal="right" vertical="top"/>
    </xf>
    <xf numFmtId="43" fontId="11" fillId="4" borderId="10" xfId="37" applyFont="1" applyFill="1" applyBorder="1" applyAlignment="1">
      <alignment horizontal="right" vertical="top"/>
    </xf>
    <xf numFmtId="43" fontId="10" fillId="4" borderId="12" xfId="37" applyFont="1" applyFill="1" applyBorder="1" applyAlignment="1">
      <alignment vertical="top"/>
    </xf>
    <xf numFmtId="0" fontId="11" fillId="3" borderId="12" xfId="1" applyFont="1" applyFill="1" applyBorder="1" applyAlignment="1">
      <alignment vertical="top"/>
    </xf>
    <xf numFmtId="0" fontId="10" fillId="3" borderId="5" xfId="1" applyFont="1" applyFill="1" applyBorder="1" applyAlignment="1">
      <alignment horizontal="left" vertical="top"/>
    </xf>
    <xf numFmtId="0" fontId="11" fillId="3" borderId="6" xfId="1" applyFont="1" applyFill="1" applyBorder="1" applyAlignment="1">
      <alignment horizontal="left" vertical="top"/>
    </xf>
    <xf numFmtId="41" fontId="11" fillId="3" borderId="10" xfId="0" applyNumberFormat="1" applyFont="1" applyFill="1" applyBorder="1" applyAlignment="1">
      <alignment vertical="top"/>
    </xf>
    <xf numFmtId="43" fontId="11" fillId="3" borderId="10" xfId="37" applyFont="1" applyFill="1" applyBorder="1" applyAlignment="1">
      <alignment vertical="top"/>
    </xf>
    <xf numFmtId="43" fontId="11" fillId="3" borderId="10" xfId="37" applyFont="1" applyFill="1" applyBorder="1" applyAlignment="1">
      <alignment horizontal="right" vertical="top"/>
    </xf>
    <xf numFmtId="0" fontId="2" fillId="3" borderId="10" xfId="0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left" vertical="top" wrapText="1"/>
    </xf>
    <xf numFmtId="41" fontId="18" fillId="4" borderId="10" xfId="1" applyNumberFormat="1" applyFont="1" applyFill="1" applyBorder="1" applyAlignment="1">
      <alignment horizontal="center" vertical="center" wrapText="1"/>
    </xf>
    <xf numFmtId="43" fontId="11" fillId="4" borderId="8" xfId="0" applyNumberFormat="1" applyFont="1" applyFill="1" applyBorder="1" applyAlignment="1">
      <alignment vertical="top"/>
    </xf>
    <xf numFmtId="43" fontId="11" fillId="4" borderId="10" xfId="0" applyNumberFormat="1" applyFont="1" applyFill="1" applyBorder="1" applyAlignment="1">
      <alignment horizontal="right" vertical="top"/>
    </xf>
    <xf numFmtId="0" fontId="10" fillId="5" borderId="10" xfId="16" applyFont="1" applyFill="1" applyBorder="1" applyAlignment="1">
      <alignment horizontal="center" vertical="center"/>
    </xf>
    <xf numFmtId="0" fontId="11" fillId="6" borderId="10" xfId="16" applyFont="1" applyFill="1" applyBorder="1" applyAlignment="1">
      <alignment horizontal="center" vertical="top"/>
    </xf>
    <xf numFmtId="0" fontId="11" fillId="6" borderId="10" xfId="16" applyFont="1" applyFill="1" applyBorder="1" applyAlignment="1">
      <alignment horizontal="left" wrapText="1"/>
    </xf>
    <xf numFmtId="43" fontId="11" fillId="6" borderId="10" xfId="5" applyFont="1" applyFill="1" applyBorder="1" applyAlignment="1">
      <alignment horizontal="right" vertical="top"/>
    </xf>
    <xf numFmtId="43" fontId="16" fillId="6" borderId="10" xfId="5" applyFont="1" applyFill="1" applyBorder="1" applyAlignment="1">
      <alignment horizontal="right" vertical="top"/>
    </xf>
    <xf numFmtId="2" fontId="16" fillId="6" borderId="10" xfId="16" applyNumberFormat="1" applyFont="1" applyFill="1" applyBorder="1" applyAlignment="1">
      <alignment horizontal="center" vertical="top"/>
    </xf>
    <xf numFmtId="43" fontId="11" fillId="6" borderId="10" xfId="16" applyNumberFormat="1" applyFont="1" applyFill="1" applyBorder="1" applyAlignment="1">
      <alignment horizontal="right" vertical="top"/>
    </xf>
    <xf numFmtId="0" fontId="11" fillId="6" borderId="10" xfId="16" applyFont="1" applyFill="1" applyBorder="1" applyAlignment="1">
      <alignment horizontal="center" vertical="top" wrapText="1"/>
    </xf>
    <xf numFmtId="0" fontId="10" fillId="5" borderId="10" xfId="16" applyFont="1" applyFill="1" applyBorder="1" applyAlignment="1">
      <alignment horizontal="center"/>
    </xf>
    <xf numFmtId="43" fontId="10" fillId="5" borderId="10" xfId="16" applyNumberFormat="1" applyFont="1" applyFill="1" applyBorder="1" applyAlignment="1">
      <alignment horizontal="right" vertical="top"/>
    </xf>
    <xf numFmtId="2" fontId="10" fillId="5" borderId="10" xfId="16" applyNumberFormat="1" applyFont="1" applyFill="1" applyBorder="1" applyAlignment="1">
      <alignment horizontal="center" vertical="top"/>
    </xf>
    <xf numFmtId="0" fontId="10" fillId="5" borderId="10" xfId="16" applyFont="1" applyFill="1" applyBorder="1" applyAlignment="1">
      <alignment horizontal="right" vertical="top"/>
    </xf>
    <xf numFmtId="0" fontId="11" fillId="3" borderId="5" xfId="1" applyFont="1" applyFill="1" applyBorder="1" applyAlignment="1">
      <alignment vertical="top"/>
    </xf>
    <xf numFmtId="0" fontId="10" fillId="3" borderId="5" xfId="1" applyFont="1" applyFill="1" applyBorder="1" applyAlignment="1">
      <alignment horizontal="left" vertical="top" wrapText="1"/>
    </xf>
    <xf numFmtId="41" fontId="18" fillId="3" borderId="10" xfId="1" applyNumberFormat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top"/>
    </xf>
    <xf numFmtId="0" fontId="10" fillId="4" borderId="8" xfId="1" applyFont="1" applyFill="1" applyBorder="1" applyAlignment="1">
      <alignment horizontal="left" vertical="top" wrapText="1"/>
    </xf>
    <xf numFmtId="41" fontId="10" fillId="4" borderId="11" xfId="1" applyNumberFormat="1" applyFont="1" applyFill="1" applyBorder="1" applyAlignment="1">
      <alignment horizontal="center" vertical="top"/>
    </xf>
    <xf numFmtId="41" fontId="10" fillId="4" borderId="8" xfId="1" applyNumberFormat="1" applyFont="1" applyFill="1" applyBorder="1" applyAlignment="1">
      <alignment horizontal="center" vertical="top"/>
    </xf>
    <xf numFmtId="43" fontId="10" fillId="4" borderId="8" xfId="37" applyFont="1" applyFill="1" applyBorder="1" applyAlignment="1">
      <alignment horizontal="center" vertical="top"/>
    </xf>
    <xf numFmtId="0" fontId="11" fillId="4" borderId="5" xfId="1" applyFont="1" applyFill="1" applyBorder="1" applyAlignment="1">
      <alignment horizontal="left" vertical="top" wrapText="1"/>
    </xf>
    <xf numFmtId="0" fontId="11" fillId="4" borderId="8" xfId="1" applyFont="1" applyFill="1" applyBorder="1" applyAlignment="1">
      <alignment horizontal="left" vertical="top" wrapText="1"/>
    </xf>
    <xf numFmtId="41" fontId="11" fillId="4" borderId="8" xfId="1" applyNumberFormat="1" applyFont="1" applyFill="1" applyBorder="1" applyAlignment="1">
      <alignment horizontal="center" vertical="top"/>
    </xf>
    <xf numFmtId="43" fontId="11" fillId="4" borderId="8" xfId="37" applyFont="1" applyFill="1" applyBorder="1" applyAlignment="1">
      <alignment horizontal="center" vertical="top"/>
    </xf>
    <xf numFmtId="43" fontId="11" fillId="4" borderId="8" xfId="37" applyFont="1" applyFill="1" applyBorder="1" applyAlignment="1">
      <alignment horizontal="center" vertical="top" wrapText="1"/>
    </xf>
    <xf numFmtId="0" fontId="22" fillId="4" borderId="0" xfId="1" applyFont="1" applyFill="1" applyAlignment="1">
      <alignment horizontal="center" vertical="top"/>
    </xf>
    <xf numFmtId="41" fontId="23" fillId="4" borderId="10" xfId="0" applyNumberFormat="1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/>
    </xf>
    <xf numFmtId="0" fontId="23" fillId="4" borderId="10" xfId="1" applyFont="1" applyFill="1" applyBorder="1" applyAlignment="1">
      <alignment horizontal="center" vertical="center"/>
    </xf>
    <xf numFmtId="0" fontId="23" fillId="4" borderId="10" xfId="1" applyFont="1" applyFill="1" applyBorder="1" applyAlignment="1">
      <alignment horizontal="center" vertical="top"/>
    </xf>
    <xf numFmtId="41" fontId="23" fillId="4" borderId="10" xfId="1" applyNumberFormat="1" applyFont="1" applyFill="1" applyBorder="1" applyAlignment="1">
      <alignment horizontal="left" vertical="top" wrapText="1"/>
    </xf>
    <xf numFmtId="43" fontId="23" fillId="4" borderId="10" xfId="37" applyFont="1" applyFill="1" applyBorder="1" applyAlignment="1">
      <alignment horizontal="left" vertical="top" wrapText="1"/>
    </xf>
    <xf numFmtId="43" fontId="23" fillId="4" borderId="12" xfId="37" applyFont="1" applyFill="1" applyBorder="1" applyAlignment="1">
      <alignment horizontal="left" vertical="top" wrapText="1"/>
    </xf>
    <xf numFmtId="0" fontId="23" fillId="4" borderId="8" xfId="1" applyFont="1" applyFill="1" applyBorder="1" applyAlignment="1">
      <alignment horizontal="center" vertical="top"/>
    </xf>
    <xf numFmtId="41" fontId="23" fillId="4" borderId="11" xfId="1" applyNumberFormat="1" applyFont="1" applyFill="1" applyBorder="1" applyAlignment="1">
      <alignment horizontal="center" vertical="top"/>
    </xf>
    <xf numFmtId="43" fontId="23" fillId="4" borderId="11" xfId="37" applyFont="1" applyFill="1" applyBorder="1" applyAlignment="1">
      <alignment horizontal="center" vertical="top"/>
    </xf>
    <xf numFmtId="0" fontId="22" fillId="4" borderId="10" xfId="0" applyFont="1" applyFill="1" applyBorder="1" applyAlignment="1">
      <alignment horizontal="center" vertical="center"/>
    </xf>
    <xf numFmtId="0" fontId="22" fillId="4" borderId="10" xfId="1" applyFont="1" applyFill="1" applyBorder="1" applyAlignment="1">
      <alignment horizontal="center" vertical="top"/>
    </xf>
    <xf numFmtId="0" fontId="22" fillId="4" borderId="12" xfId="1" applyFont="1" applyFill="1" applyBorder="1" applyAlignment="1">
      <alignment horizontal="center" vertical="top"/>
    </xf>
    <xf numFmtId="0" fontId="22" fillId="4" borderId="5" xfId="1" applyFont="1" applyFill="1" applyBorder="1" applyAlignment="1">
      <alignment horizontal="center" vertical="top"/>
    </xf>
    <xf numFmtId="0" fontId="22" fillId="4" borderId="6" xfId="1" applyFont="1" applyFill="1" applyBorder="1" applyAlignment="1">
      <alignment horizontal="left" vertical="top" wrapText="1"/>
    </xf>
    <xf numFmtId="41" fontId="22" fillId="4" borderId="10" xfId="0" applyNumberFormat="1" applyFont="1" applyFill="1" applyBorder="1" applyAlignment="1">
      <alignment vertical="top"/>
    </xf>
    <xf numFmtId="41" fontId="22" fillId="4" borderId="8" xfId="0" applyNumberFormat="1" applyFont="1" applyFill="1" applyBorder="1" applyAlignment="1">
      <alignment horizontal="center" vertical="center" wrapText="1"/>
    </xf>
    <xf numFmtId="43" fontId="22" fillId="4" borderId="10" xfId="37" applyFont="1" applyFill="1" applyBorder="1" applyAlignment="1">
      <alignment vertical="top"/>
    </xf>
    <xf numFmtId="43" fontId="22" fillId="4" borderId="12" xfId="37" applyFont="1" applyFill="1" applyBorder="1" applyAlignment="1">
      <alignment vertical="top"/>
    </xf>
    <xf numFmtId="0" fontId="22" fillId="4" borderId="10" xfId="0" applyFont="1" applyFill="1" applyBorder="1" applyAlignment="1">
      <alignment horizontal="center" vertical="center" wrapText="1"/>
    </xf>
    <xf numFmtId="41" fontId="22" fillId="4" borderId="5" xfId="0" applyNumberFormat="1" applyFont="1" applyFill="1" applyBorder="1" applyAlignment="1">
      <alignment vertical="top"/>
    </xf>
    <xf numFmtId="41" fontId="22" fillId="4" borderId="10" xfId="0" applyNumberFormat="1" applyFont="1" applyFill="1" applyBorder="1" applyAlignment="1">
      <alignment horizontal="center" vertical="center" wrapText="1"/>
    </xf>
    <xf numFmtId="41" fontId="22" fillId="4" borderId="12" xfId="0" applyNumberFormat="1" applyFont="1" applyFill="1" applyBorder="1" applyAlignment="1">
      <alignment vertical="top"/>
    </xf>
    <xf numFmtId="0" fontId="22" fillId="4" borderId="13" xfId="1" applyFont="1" applyFill="1" applyBorder="1" applyAlignment="1">
      <alignment horizontal="center" vertical="top"/>
    </xf>
    <xf numFmtId="0" fontId="22" fillId="4" borderId="0" xfId="1" applyFont="1" applyFill="1" applyBorder="1" applyAlignment="1">
      <alignment horizontal="center" vertical="top"/>
    </xf>
    <xf numFmtId="0" fontId="24" fillId="4" borderId="14" xfId="1" applyFont="1" applyFill="1" applyBorder="1" applyAlignment="1">
      <alignment horizontal="left" vertical="top" wrapText="1"/>
    </xf>
    <xf numFmtId="41" fontId="24" fillId="4" borderId="15" xfId="0" applyNumberFormat="1" applyFont="1" applyFill="1" applyBorder="1" applyAlignment="1">
      <alignment vertical="top"/>
    </xf>
    <xf numFmtId="41" fontId="24" fillId="4" borderId="13" xfId="0" applyNumberFormat="1" applyFont="1" applyFill="1" applyBorder="1" applyAlignment="1">
      <alignment vertical="top"/>
    </xf>
    <xf numFmtId="41" fontId="24" fillId="4" borderId="13" xfId="0" applyNumberFormat="1" applyFont="1" applyFill="1" applyBorder="1" applyAlignment="1">
      <alignment horizontal="center" vertical="center" wrapText="1"/>
    </xf>
    <xf numFmtId="43" fontId="24" fillId="4" borderId="13" xfId="37" applyFont="1" applyFill="1" applyBorder="1" applyAlignment="1">
      <alignment vertical="top"/>
    </xf>
    <xf numFmtId="43" fontId="22" fillId="4" borderId="13" xfId="37" applyFont="1" applyFill="1" applyBorder="1" applyAlignment="1">
      <alignment vertical="top"/>
    </xf>
    <xf numFmtId="0" fontId="24" fillId="4" borderId="15" xfId="0" applyFont="1" applyFill="1" applyBorder="1" applyAlignment="1">
      <alignment horizontal="center" vertical="center" wrapText="1"/>
    </xf>
    <xf numFmtId="41" fontId="22" fillId="4" borderId="10" xfId="2" applyNumberFormat="1" applyFont="1" applyFill="1" applyBorder="1" applyAlignment="1">
      <alignment vertical="top"/>
    </xf>
    <xf numFmtId="41" fontId="22" fillId="4" borderId="10" xfId="3" applyNumberFormat="1" applyFont="1" applyFill="1" applyBorder="1" applyAlignment="1">
      <alignment vertical="top"/>
    </xf>
    <xf numFmtId="41" fontId="22" fillId="4" borderId="12" xfId="3" applyNumberFormat="1" applyFont="1" applyFill="1" applyBorder="1" applyAlignment="1">
      <alignment vertical="top"/>
    </xf>
    <xf numFmtId="41" fontId="22" fillId="4" borderId="8" xfId="3" applyNumberFormat="1" applyFont="1" applyFill="1" applyBorder="1" applyAlignment="1">
      <alignment vertical="top" wrapText="1"/>
    </xf>
    <xf numFmtId="0" fontId="24" fillId="4" borderId="10" xfId="0" applyFont="1" applyFill="1" applyBorder="1" applyAlignment="1">
      <alignment horizontal="center" vertical="center" wrapText="1"/>
    </xf>
    <xf numFmtId="0" fontId="22" fillId="4" borderId="8" xfId="1" applyFont="1" applyFill="1" applyBorder="1" applyAlignment="1">
      <alignment horizontal="center" vertical="top"/>
    </xf>
    <xf numFmtId="0" fontId="22" fillId="4" borderId="1" xfId="1" applyFont="1" applyFill="1" applyBorder="1" applyAlignment="1">
      <alignment horizontal="center" vertical="top"/>
    </xf>
    <xf numFmtId="0" fontId="22" fillId="4" borderId="9" xfId="1" applyFont="1" applyFill="1" applyBorder="1" applyAlignment="1">
      <alignment horizontal="left" vertical="top" wrapText="1"/>
    </xf>
    <xf numFmtId="41" fontId="22" fillId="4" borderId="11" xfId="2" applyNumberFormat="1" applyFont="1" applyFill="1" applyBorder="1" applyAlignment="1">
      <alignment vertical="top"/>
    </xf>
    <xf numFmtId="41" fontId="22" fillId="4" borderId="11" xfId="3" applyNumberFormat="1" applyFont="1" applyFill="1" applyBorder="1" applyAlignment="1">
      <alignment vertical="top"/>
    </xf>
    <xf numFmtId="41" fontId="22" fillId="4" borderId="8" xfId="3" applyNumberFormat="1" applyFont="1" applyFill="1" applyBorder="1" applyAlignment="1">
      <alignment vertical="top"/>
    </xf>
    <xf numFmtId="41" fontId="22" fillId="4" borderId="8" xfId="3" applyNumberFormat="1" applyFont="1" applyFill="1" applyBorder="1" applyAlignment="1">
      <alignment horizontal="center" vertical="center" wrapText="1"/>
    </xf>
    <xf numFmtId="43" fontId="22" fillId="4" borderId="8" xfId="37" applyFont="1" applyFill="1" applyBorder="1" applyAlignment="1">
      <alignment vertical="top"/>
    </xf>
    <xf numFmtId="0" fontId="24" fillId="4" borderId="11" xfId="0" applyFont="1" applyFill="1" applyBorder="1" applyAlignment="1">
      <alignment horizontal="center" vertical="center" wrapText="1"/>
    </xf>
    <xf numFmtId="41" fontId="23" fillId="4" borderId="10" xfId="1" applyNumberFormat="1" applyFont="1" applyFill="1" applyBorder="1" applyAlignment="1">
      <alignment horizontal="center" vertical="top"/>
    </xf>
    <xf numFmtId="43" fontId="23" fillId="4" borderId="10" xfId="37" applyFont="1" applyFill="1" applyBorder="1" applyAlignment="1">
      <alignment horizontal="center" vertical="top"/>
    </xf>
    <xf numFmtId="0" fontId="23" fillId="4" borderId="12" xfId="1" applyFont="1" applyFill="1" applyBorder="1" applyAlignment="1">
      <alignment horizontal="center" vertical="top"/>
    </xf>
    <xf numFmtId="0" fontId="23" fillId="4" borderId="5" xfId="1" applyFont="1" applyFill="1" applyBorder="1" applyAlignment="1">
      <alignment horizontal="center" vertical="top"/>
    </xf>
    <xf numFmtId="0" fontId="23" fillId="4" borderId="2" xfId="1" applyFont="1" applyFill="1" applyBorder="1" applyAlignment="1">
      <alignment horizontal="center" vertical="top"/>
    </xf>
    <xf numFmtId="0" fontId="23" fillId="4" borderId="3" xfId="1" applyFont="1" applyFill="1" applyBorder="1" applyAlignment="1">
      <alignment horizontal="center" vertical="top"/>
    </xf>
    <xf numFmtId="41" fontId="22" fillId="4" borderId="11" xfId="0" applyNumberFormat="1" applyFont="1" applyFill="1" applyBorder="1" applyAlignment="1">
      <alignment vertical="top"/>
    </xf>
    <xf numFmtId="41" fontId="22" fillId="4" borderId="8" xfId="0" applyNumberFormat="1" applyFont="1" applyFill="1" applyBorder="1" applyAlignment="1">
      <alignment vertical="top"/>
    </xf>
    <xf numFmtId="0" fontId="23" fillId="4" borderId="5" xfId="1" applyFont="1" applyFill="1" applyBorder="1" applyAlignment="1">
      <alignment horizontal="left" vertical="top" wrapText="1"/>
    </xf>
    <xf numFmtId="41" fontId="22" fillId="4" borderId="12" xfId="0" applyNumberFormat="1" applyFont="1" applyFill="1" applyBorder="1" applyAlignment="1">
      <alignment horizontal="center" vertical="top" wrapText="1"/>
    </xf>
    <xf numFmtId="0" fontId="22" fillId="4" borderId="6" xfId="1" applyFont="1" applyFill="1" applyBorder="1" applyAlignment="1">
      <alignment vertical="top" wrapText="1"/>
    </xf>
    <xf numFmtId="41" fontId="22" fillId="4" borderId="8" xfId="0" applyNumberFormat="1" applyFont="1" applyFill="1" applyBorder="1" applyAlignment="1">
      <alignment horizontal="center" vertical="top" wrapText="1"/>
    </xf>
    <xf numFmtId="49" fontId="22" fillId="4" borderId="10" xfId="0" applyNumberFormat="1" applyFont="1" applyFill="1" applyBorder="1" applyAlignment="1">
      <alignment horizontal="center" vertical="center" wrapText="1"/>
    </xf>
    <xf numFmtId="49" fontId="22" fillId="4" borderId="11" xfId="0" applyNumberFormat="1" applyFont="1" applyFill="1" applyBorder="1" applyAlignment="1">
      <alignment horizontal="center" vertical="center" wrapText="1"/>
    </xf>
    <xf numFmtId="49" fontId="22" fillId="4" borderId="6" xfId="1" applyNumberFormat="1" applyFont="1" applyFill="1" applyBorder="1" applyAlignment="1">
      <alignment vertical="top" wrapText="1"/>
    </xf>
    <xf numFmtId="0" fontId="22" fillId="4" borderId="14" xfId="1" applyFont="1" applyFill="1" applyBorder="1" applyAlignment="1">
      <alignment vertical="top" wrapText="1"/>
    </xf>
    <xf numFmtId="0" fontId="22" fillId="4" borderId="11" xfId="0" applyFont="1" applyFill="1" applyBorder="1" applyAlignment="1">
      <alignment horizontal="center" vertical="center"/>
    </xf>
    <xf numFmtId="41" fontId="24" fillId="4" borderId="12" xfId="0" applyNumberFormat="1" applyFont="1" applyFill="1" applyBorder="1" applyAlignment="1">
      <alignment horizontal="center" vertical="top" wrapText="1"/>
    </xf>
    <xf numFmtId="41" fontId="24" fillId="4" borderId="10" xfId="0" applyNumberFormat="1" applyFont="1" applyFill="1" applyBorder="1" applyAlignment="1">
      <alignment horizontal="center" vertical="top" wrapText="1"/>
    </xf>
    <xf numFmtId="41" fontId="25" fillId="4" borderId="6" xfId="0" applyNumberFormat="1" applyFont="1" applyFill="1" applyBorder="1" applyAlignment="1">
      <alignment horizontal="center" vertical="center"/>
    </xf>
    <xf numFmtId="43" fontId="25" fillId="4" borderId="6" xfId="37" applyFont="1" applyFill="1" applyBorder="1" applyAlignment="1">
      <alignment horizontal="center" vertical="center"/>
    </xf>
    <xf numFmtId="0" fontId="23" fillId="4" borderId="5" xfId="1" applyFont="1" applyFill="1" applyBorder="1" applyAlignment="1">
      <alignment vertical="top"/>
    </xf>
    <xf numFmtId="0" fontId="23" fillId="4" borderId="6" xfId="1" applyFont="1" applyFill="1" applyBorder="1" applyAlignment="1">
      <alignment vertical="top"/>
    </xf>
    <xf numFmtId="0" fontId="22" fillId="4" borderId="11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9" xfId="1" applyFont="1" applyFill="1" applyBorder="1" applyAlignment="1">
      <alignment horizontal="left" vertical="top"/>
    </xf>
    <xf numFmtId="41" fontId="22" fillId="4" borderId="11" xfId="1" applyNumberFormat="1" applyFont="1" applyFill="1" applyBorder="1" applyAlignment="1">
      <alignment vertical="top" wrapText="1"/>
    </xf>
    <xf numFmtId="0" fontId="22" fillId="4" borderId="7" xfId="0" applyFont="1" applyFill="1" applyBorder="1" applyAlignment="1">
      <alignment horizontal="center" vertical="center" wrapText="1"/>
    </xf>
    <xf numFmtId="41" fontId="23" fillId="4" borderId="10" xfId="1" applyNumberFormat="1" applyFont="1" applyFill="1" applyBorder="1" applyAlignment="1">
      <alignment vertical="top" wrapText="1"/>
    </xf>
    <xf numFmtId="43" fontId="23" fillId="4" borderId="10" xfId="37" applyFont="1" applyFill="1" applyBorder="1" applyAlignment="1">
      <alignment vertical="top" wrapText="1"/>
    </xf>
    <xf numFmtId="0" fontId="23" fillId="4" borderId="1" xfId="1" applyFont="1" applyFill="1" applyBorder="1" applyAlignment="1">
      <alignment horizontal="center" vertical="top"/>
    </xf>
    <xf numFmtId="0" fontId="23" fillId="4" borderId="13" xfId="1" applyFont="1" applyFill="1" applyBorder="1" applyAlignment="1">
      <alignment horizontal="center" vertical="top"/>
    </xf>
    <xf numFmtId="0" fontId="22" fillId="4" borderId="4" xfId="1" applyFont="1" applyFill="1" applyBorder="1" applyAlignment="1">
      <alignment horizontal="left" vertical="top" wrapText="1"/>
    </xf>
    <xf numFmtId="41" fontId="22" fillId="4" borderId="17" xfId="0" applyNumberFormat="1" applyFont="1" applyFill="1" applyBorder="1" applyAlignment="1">
      <alignment vertical="top"/>
    </xf>
    <xf numFmtId="43" fontId="22" fillId="4" borderId="17" xfId="37" applyFont="1" applyFill="1" applyBorder="1" applyAlignment="1">
      <alignment vertical="top"/>
    </xf>
    <xf numFmtId="43" fontId="22" fillId="4" borderId="2" xfId="37" applyFont="1" applyFill="1" applyBorder="1" applyAlignment="1">
      <alignment vertical="top"/>
    </xf>
    <xf numFmtId="41" fontId="22" fillId="4" borderId="7" xfId="0" applyNumberFormat="1" applyFont="1" applyFill="1" applyBorder="1" applyAlignment="1">
      <alignment vertical="top"/>
    </xf>
    <xf numFmtId="41" fontId="22" fillId="4" borderId="2" xfId="0" applyNumberFormat="1" applyFont="1" applyFill="1" applyBorder="1" applyAlignment="1">
      <alignment vertical="top"/>
    </xf>
    <xf numFmtId="41" fontId="22" fillId="4" borderId="2" xfId="0" applyNumberFormat="1" applyFont="1" applyFill="1" applyBorder="1" applyAlignment="1">
      <alignment horizontal="center" vertical="top" wrapText="1"/>
    </xf>
    <xf numFmtId="0" fontId="23" fillId="4" borderId="5" xfId="1" applyFont="1" applyFill="1" applyBorder="1" applyAlignment="1">
      <alignment vertical="top" wrapText="1"/>
    </xf>
    <xf numFmtId="0" fontId="22" fillId="4" borderId="5" xfId="1" applyFont="1" applyFill="1" applyBorder="1" applyAlignment="1">
      <alignment horizontal="left" vertical="top" wrapText="1"/>
    </xf>
    <xf numFmtId="41" fontId="22" fillId="4" borderId="6" xfId="0" applyNumberFormat="1" applyFont="1" applyFill="1" applyBorder="1" applyAlignment="1">
      <alignment horizontal="center" vertical="center" wrapText="1"/>
    </xf>
    <xf numFmtId="41" fontId="22" fillId="4" borderId="6" xfId="0" applyNumberFormat="1" applyFont="1" applyFill="1" applyBorder="1" applyAlignment="1">
      <alignment vertical="top"/>
    </xf>
    <xf numFmtId="43" fontId="22" fillId="4" borderId="6" xfId="37" applyFont="1" applyFill="1" applyBorder="1" applyAlignment="1">
      <alignment vertical="top"/>
    </xf>
    <xf numFmtId="0" fontId="24" fillId="4" borderId="6" xfId="0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left" vertical="top"/>
    </xf>
    <xf numFmtId="41" fontId="22" fillId="4" borderId="1" xfId="0" applyNumberFormat="1" applyFont="1" applyFill="1" applyBorder="1" applyAlignment="1">
      <alignment vertical="top"/>
    </xf>
    <xf numFmtId="41" fontId="22" fillId="4" borderId="9" xfId="0" applyNumberFormat="1" applyFont="1" applyFill="1" applyBorder="1" applyAlignment="1">
      <alignment vertical="top"/>
    </xf>
    <xf numFmtId="43" fontId="22" fillId="4" borderId="9" xfId="37" applyFont="1" applyFill="1" applyBorder="1" applyAlignment="1">
      <alignment vertical="top"/>
    </xf>
    <xf numFmtId="43" fontId="22" fillId="4" borderId="14" xfId="37" applyFont="1" applyFill="1" applyBorder="1" applyAlignment="1">
      <alignment vertical="top"/>
    </xf>
    <xf numFmtId="43" fontId="22" fillId="4" borderId="15" xfId="37" applyFont="1" applyFill="1" applyBorder="1" applyAlignment="1">
      <alignment vertical="top"/>
    </xf>
    <xf numFmtId="0" fontId="24" fillId="4" borderId="9" xfId="0" applyFont="1" applyFill="1" applyBorder="1" applyAlignment="1">
      <alignment horizontal="center" vertical="center" wrapText="1"/>
    </xf>
    <xf numFmtId="41" fontId="23" fillId="4" borderId="8" xfId="1" applyNumberFormat="1" applyFont="1" applyFill="1" applyBorder="1" applyAlignment="1">
      <alignment horizontal="center" vertical="top"/>
    </xf>
    <xf numFmtId="43" fontId="23" fillId="4" borderId="8" xfId="37" applyFont="1" applyFill="1" applyBorder="1" applyAlignment="1">
      <alignment horizontal="center" vertical="top"/>
    </xf>
    <xf numFmtId="0" fontId="23" fillId="4" borderId="8" xfId="1" applyFont="1" applyFill="1" applyBorder="1" applyAlignment="1">
      <alignment horizontal="left" vertical="top" wrapText="1"/>
    </xf>
    <xf numFmtId="0" fontId="22" fillId="4" borderId="8" xfId="1" applyFont="1" applyFill="1" applyBorder="1" applyAlignment="1">
      <alignment horizontal="left" vertical="top" wrapText="1"/>
    </xf>
    <xf numFmtId="41" fontId="22" fillId="4" borderId="11" xfId="1" applyNumberFormat="1" applyFont="1" applyFill="1" applyBorder="1" applyAlignment="1">
      <alignment horizontal="center" vertical="top"/>
    </xf>
    <xf numFmtId="41" fontId="22" fillId="4" borderId="8" xfId="1" applyNumberFormat="1" applyFont="1" applyFill="1" applyBorder="1" applyAlignment="1">
      <alignment horizontal="center" vertical="top"/>
    </xf>
    <xf numFmtId="43" fontId="22" fillId="4" borderId="8" xfId="37" applyFont="1" applyFill="1" applyBorder="1" applyAlignment="1">
      <alignment horizontal="center" vertical="top"/>
    </xf>
    <xf numFmtId="43" fontId="22" fillId="4" borderId="8" xfId="37" applyFont="1" applyFill="1" applyBorder="1" applyAlignment="1">
      <alignment horizontal="center" vertical="top" wrapText="1"/>
    </xf>
    <xf numFmtId="43" fontId="23" fillId="4" borderId="10" xfId="37" applyFont="1" applyFill="1" applyBorder="1" applyAlignment="1">
      <alignment horizontal="left" vertical="top"/>
    </xf>
    <xf numFmtId="41" fontId="27" fillId="4" borderId="1" xfId="1" applyNumberFormat="1" applyFont="1" applyFill="1" applyBorder="1" applyAlignment="1">
      <alignment vertical="top"/>
    </xf>
    <xf numFmtId="41" fontId="28" fillId="4" borderId="8" xfId="3" applyNumberFormat="1" applyFont="1" applyFill="1" applyBorder="1" applyAlignment="1">
      <alignment horizontal="center" vertical="top" wrapText="1"/>
    </xf>
    <xf numFmtId="41" fontId="28" fillId="4" borderId="12" xfId="0" applyNumberFormat="1" applyFont="1" applyFill="1" applyBorder="1" applyAlignment="1">
      <alignment horizontal="center" vertical="top" wrapText="1"/>
    </xf>
    <xf numFmtId="41" fontId="28" fillId="4" borderId="8" xfId="0" applyNumberFormat="1" applyFont="1" applyFill="1" applyBorder="1" applyAlignment="1">
      <alignment horizontal="center" vertical="top" wrapText="1"/>
    </xf>
    <xf numFmtId="41" fontId="17" fillId="4" borderId="8" xfId="1" applyNumberFormat="1" applyFont="1" applyFill="1" applyBorder="1" applyAlignment="1">
      <alignment horizontal="center" vertical="top"/>
    </xf>
    <xf numFmtId="0" fontId="30" fillId="4" borderId="10" xfId="0" applyFont="1" applyFill="1" applyBorder="1" applyAlignment="1">
      <alignment horizontal="center" vertical="top" wrapText="1"/>
    </xf>
    <xf numFmtId="41" fontId="28" fillId="4" borderId="8" xfId="1" applyNumberFormat="1" applyFont="1" applyFill="1" applyBorder="1" applyAlignment="1">
      <alignment horizontal="center" vertical="top" wrapText="1"/>
    </xf>
    <xf numFmtId="41" fontId="21" fillId="4" borderId="8" xfId="1" applyNumberFormat="1" applyFont="1" applyFill="1" applyBorder="1" applyAlignment="1">
      <alignment horizontal="center" vertical="top" wrapText="1"/>
    </xf>
    <xf numFmtId="41" fontId="32" fillId="4" borderId="1" xfId="1" applyNumberFormat="1" applyFont="1" applyFill="1" applyBorder="1" applyAlignment="1">
      <alignment vertical="top"/>
    </xf>
    <xf numFmtId="41" fontId="33" fillId="4" borderId="8" xfId="1" applyNumberFormat="1" applyFont="1" applyFill="1" applyBorder="1" applyAlignment="1">
      <alignment horizontal="center" vertical="top"/>
    </xf>
    <xf numFmtId="41" fontId="38" fillId="0" borderId="0" xfId="0" applyNumberFormat="1" applyFont="1"/>
    <xf numFmtId="41" fontId="37" fillId="7" borderId="10" xfId="0" applyNumberFormat="1" applyFont="1" applyFill="1" applyBorder="1" applyAlignment="1">
      <alignment horizontal="center" vertical="center"/>
    </xf>
    <xf numFmtId="41" fontId="37" fillId="7" borderId="10" xfId="0" applyNumberFormat="1" applyFont="1" applyFill="1" applyBorder="1" applyAlignment="1">
      <alignment horizontal="center" vertical="center" wrapText="1"/>
    </xf>
    <xf numFmtId="41" fontId="37" fillId="0" borderId="10" xfId="0" applyNumberFormat="1" applyFont="1" applyBorder="1" applyAlignment="1">
      <alignment horizontal="left" vertical="top" wrapText="1"/>
    </xf>
    <xf numFmtId="41" fontId="37" fillId="0" borderId="10" xfId="37" applyNumberFormat="1" applyFont="1" applyBorder="1" applyAlignment="1">
      <alignment vertical="top"/>
    </xf>
    <xf numFmtId="41" fontId="37" fillId="0" borderId="10" xfId="0" applyNumberFormat="1" applyFont="1" applyBorder="1" applyAlignment="1">
      <alignment horizontal="right" vertical="top"/>
    </xf>
    <xf numFmtId="41" fontId="38" fillId="0" borderId="10" xfId="0" applyNumberFormat="1" applyFont="1" applyBorder="1" applyAlignment="1">
      <alignment horizontal="left" vertical="top" wrapText="1"/>
    </xf>
    <xf numFmtId="41" fontId="38" fillId="0" borderId="10" xfId="37" applyNumberFormat="1" applyFont="1" applyBorder="1" applyAlignment="1">
      <alignment vertical="top"/>
    </xf>
    <xf numFmtId="41" fontId="37" fillId="0" borderId="13" xfId="0" applyNumberFormat="1" applyFont="1" applyBorder="1" applyAlignment="1">
      <alignment horizontal="center" vertical="top"/>
    </xf>
    <xf numFmtId="41" fontId="38" fillId="0" borderId="10" xfId="0" applyNumberFormat="1" applyFont="1" applyFill="1" applyBorder="1" applyAlignment="1">
      <alignment horizontal="left" vertical="top" wrapText="1"/>
    </xf>
    <xf numFmtId="41" fontId="38" fillId="0" borderId="10" xfId="37" applyNumberFormat="1" applyFont="1" applyFill="1" applyBorder="1" applyAlignment="1">
      <alignment vertical="top"/>
    </xf>
    <xf numFmtId="41" fontId="37" fillId="4" borderId="13" xfId="0" applyNumberFormat="1" applyFont="1" applyFill="1" applyBorder="1" applyAlignment="1">
      <alignment horizontal="center" vertical="top"/>
    </xf>
    <xf numFmtId="41" fontId="38" fillId="4" borderId="10" xfId="0" applyNumberFormat="1" applyFont="1" applyFill="1" applyBorder="1" applyAlignment="1">
      <alignment horizontal="left" vertical="top" wrapText="1"/>
    </xf>
    <xf numFmtId="41" fontId="38" fillId="4" borderId="10" xfId="37" applyNumberFormat="1" applyFont="1" applyFill="1" applyBorder="1" applyAlignment="1">
      <alignment vertical="top"/>
    </xf>
    <xf numFmtId="41" fontId="38" fillId="4" borderId="0" xfId="0" applyNumberFormat="1" applyFont="1" applyFill="1"/>
    <xf numFmtId="41" fontId="38" fillId="0" borderId="10" xfId="0" applyNumberFormat="1" applyFont="1" applyBorder="1" applyAlignment="1">
      <alignment vertical="top" wrapText="1"/>
    </xf>
    <xf numFmtId="41" fontId="38" fillId="0" borderId="10" xfId="0" applyNumberFormat="1" applyFont="1" applyBorder="1" applyAlignment="1">
      <alignment vertical="top"/>
    </xf>
    <xf numFmtId="41" fontId="38" fillId="0" borderId="0" xfId="0" applyNumberFormat="1" applyFont="1" applyAlignment="1">
      <alignment vertical="top"/>
    </xf>
    <xf numFmtId="41" fontId="37" fillId="8" borderId="10" xfId="37" applyNumberFormat="1" applyFont="1" applyFill="1" applyBorder="1" applyAlignment="1">
      <alignment vertical="top"/>
    </xf>
    <xf numFmtId="41" fontId="38" fillId="8" borderId="10" xfId="0" applyNumberFormat="1" applyFont="1" applyFill="1" applyBorder="1" applyAlignment="1">
      <alignment vertical="top"/>
    </xf>
    <xf numFmtId="41" fontId="11" fillId="4" borderId="10" xfId="1" applyNumberFormat="1" applyFont="1" applyFill="1" applyBorder="1" applyAlignment="1">
      <alignment horizontal="left" vertical="top"/>
    </xf>
    <xf numFmtId="43" fontId="11" fillId="4" borderId="10" xfId="37" applyFont="1" applyFill="1" applyBorder="1" applyAlignment="1">
      <alignment horizontal="left" vertical="top"/>
    </xf>
    <xf numFmtId="41" fontId="39" fillId="4" borderId="8" xfId="3" applyNumberFormat="1" applyFont="1" applyFill="1" applyBorder="1" applyAlignment="1">
      <alignment horizontal="center" vertical="top" wrapText="1"/>
    </xf>
    <xf numFmtId="41" fontId="28" fillId="4" borderId="10" xfId="0" applyNumberFormat="1" applyFont="1" applyFill="1" applyBorder="1" applyAlignment="1">
      <alignment horizontal="center" vertical="top" wrapText="1"/>
    </xf>
    <xf numFmtId="41" fontId="41" fillId="0" borderId="10" xfId="37" applyNumberFormat="1" applyFont="1" applyBorder="1" applyAlignment="1">
      <alignment horizontal="center" vertical="top"/>
    </xf>
    <xf numFmtId="43" fontId="38" fillId="0" borderId="0" xfId="37" applyFont="1"/>
    <xf numFmtId="43" fontId="37" fillId="7" borderId="10" xfId="37" applyFont="1" applyFill="1" applyBorder="1" applyAlignment="1">
      <alignment horizontal="center" vertical="center" wrapText="1"/>
    </xf>
    <xf numFmtId="43" fontId="37" fillId="0" borderId="10" xfId="37" applyFont="1" applyBorder="1" applyAlignment="1">
      <alignment vertical="top"/>
    </xf>
    <xf numFmtId="43" fontId="38" fillId="0" borderId="10" xfId="37" applyFont="1" applyBorder="1" applyAlignment="1">
      <alignment vertical="top"/>
    </xf>
    <xf numFmtId="43" fontId="38" fillId="0" borderId="10" xfId="37" applyFont="1" applyFill="1" applyBorder="1" applyAlignment="1">
      <alignment vertical="top"/>
    </xf>
    <xf numFmtId="43" fontId="38" fillId="4" borderId="10" xfId="37" applyFont="1" applyFill="1" applyBorder="1" applyAlignment="1">
      <alignment vertical="top"/>
    </xf>
    <xf numFmtId="43" fontId="37" fillId="8" borderId="10" xfId="37" applyFont="1" applyFill="1" applyBorder="1" applyAlignment="1">
      <alignment vertical="top"/>
    </xf>
    <xf numFmtId="41" fontId="38" fillId="0" borderId="10" xfId="0" applyNumberFormat="1" applyFont="1" applyBorder="1" applyAlignment="1">
      <alignment horizontal="center" vertical="top" wrapText="1"/>
    </xf>
    <xf numFmtId="41" fontId="38" fillId="0" borderId="10" xfId="0" applyNumberFormat="1" applyFont="1" applyFill="1" applyBorder="1" applyAlignment="1">
      <alignment horizontal="center" vertical="top" wrapText="1"/>
    </xf>
    <xf numFmtId="41" fontId="41" fillId="0" borderId="10" xfId="0" applyNumberFormat="1" applyFont="1" applyBorder="1" applyAlignment="1">
      <alignment horizontal="center" vertical="top" wrapText="1"/>
    </xf>
    <xf numFmtId="41" fontId="41" fillId="0" borderId="10" xfId="0" applyNumberFormat="1" applyFont="1" applyFill="1" applyBorder="1" applyAlignment="1">
      <alignment horizontal="center" vertical="top" wrapText="1"/>
    </xf>
    <xf numFmtId="41" fontId="40" fillId="0" borderId="10" xfId="0" applyNumberFormat="1" applyFont="1" applyBorder="1" applyAlignment="1">
      <alignment horizontal="center" vertical="top" wrapText="1"/>
    </xf>
    <xf numFmtId="41" fontId="41" fillId="0" borderId="10" xfId="37" applyNumberFormat="1" applyFont="1" applyBorder="1" applyAlignment="1">
      <alignment horizontal="center" vertical="top" wrapText="1"/>
    </xf>
    <xf numFmtId="41" fontId="11" fillId="4" borderId="10" xfId="0" applyNumberFormat="1" applyFont="1" applyFill="1" applyBorder="1" applyAlignment="1">
      <alignment vertical="top" wrapText="1"/>
    </xf>
    <xf numFmtId="0" fontId="42" fillId="4" borderId="10" xfId="0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/>
    </xf>
    <xf numFmtId="0" fontId="10" fillId="4" borderId="0" xfId="1" applyFont="1" applyFill="1" applyAlignment="1">
      <alignment horizontal="center" vertical="top"/>
    </xf>
    <xf numFmtId="0" fontId="43" fillId="0" borderId="6" xfId="0" applyFont="1" applyBorder="1"/>
    <xf numFmtId="0" fontId="43" fillId="0" borderId="6" xfId="0" applyFont="1" applyBorder="1" applyAlignment="1">
      <alignment wrapText="1"/>
    </xf>
    <xf numFmtId="0" fontId="43" fillId="0" borderId="0" xfId="0" applyFont="1"/>
    <xf numFmtId="0" fontId="43" fillId="0" borderId="9" xfId="0" applyFont="1" applyBorder="1"/>
    <xf numFmtId="0" fontId="43" fillId="0" borderId="6" xfId="0" applyFont="1" applyBorder="1" applyAlignment="1">
      <alignment vertical="center" wrapText="1"/>
    </xf>
    <xf numFmtId="0" fontId="43" fillId="0" borderId="0" xfId="0" applyFont="1" applyAlignment="1">
      <alignment wrapText="1"/>
    </xf>
    <xf numFmtId="0" fontId="38" fillId="0" borderId="6" xfId="0" applyFont="1" applyBorder="1"/>
    <xf numFmtId="0" fontId="43" fillId="0" borderId="5" xfId="0" applyFont="1" applyBorder="1"/>
    <xf numFmtId="43" fontId="16" fillId="4" borderId="11" xfId="37" applyFont="1" applyFill="1" applyBorder="1" applyAlignment="1">
      <alignment horizontal="left" vertical="top"/>
    </xf>
    <xf numFmtId="43" fontId="16" fillId="4" borderId="10" xfId="37" applyFont="1" applyFill="1" applyBorder="1" applyAlignment="1">
      <alignment horizontal="center" vertical="top"/>
    </xf>
    <xf numFmtId="0" fontId="10" fillId="4" borderId="5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41" fontId="21" fillId="4" borderId="10" xfId="0" applyNumberFormat="1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0" fontId="11" fillId="4" borderId="6" xfId="1" applyFont="1" applyFill="1" applyBorder="1" applyAlignment="1">
      <alignment horizontal="left" vertical="top" wrapText="1"/>
    </xf>
    <xf numFmtId="41" fontId="28" fillId="4" borderId="10" xfId="3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10" xfId="0" applyFont="1" applyBorder="1" applyAlignment="1">
      <alignment wrapText="1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/>
    <xf numFmtId="0" fontId="37" fillId="0" borderId="10" xfId="0" applyFont="1" applyBorder="1" applyAlignment="1">
      <alignment wrapText="1"/>
    </xf>
    <xf numFmtId="43" fontId="38" fillId="0" borderId="10" xfId="37" applyFont="1" applyBorder="1"/>
    <xf numFmtId="43" fontId="38" fillId="0" borderId="10" xfId="0" applyNumberFormat="1" applyFont="1" applyBorder="1"/>
    <xf numFmtId="0" fontId="44" fillId="0" borderId="10" xfId="0" applyFont="1" applyBorder="1"/>
    <xf numFmtId="43" fontId="37" fillId="0" borderId="10" xfId="0" applyNumberFormat="1" applyFont="1" applyBorder="1"/>
    <xf numFmtId="0" fontId="44" fillId="0" borderId="0" xfId="0" applyFont="1"/>
    <xf numFmtId="41" fontId="17" fillId="4" borderId="10" xfId="37" applyNumberFormat="1" applyFont="1" applyFill="1" applyBorder="1" applyAlignment="1">
      <alignment horizontal="center" vertical="top" wrapText="1"/>
    </xf>
    <xf numFmtId="41" fontId="17" fillId="4" borderId="10" xfId="0" applyNumberFormat="1" applyFont="1" applyFill="1" applyBorder="1" applyAlignment="1">
      <alignment horizontal="center" vertical="top" wrapText="1"/>
    </xf>
    <xf numFmtId="43" fontId="11" fillId="4" borderId="20" xfId="37" applyFont="1" applyFill="1" applyBorder="1" applyAlignment="1">
      <alignment vertical="top"/>
    </xf>
    <xf numFmtId="0" fontId="10" fillId="4" borderId="5" xfId="1" applyFont="1" applyFill="1" applyBorder="1" applyAlignment="1">
      <alignment horizontal="left" vertical="top"/>
    </xf>
    <xf numFmtId="43" fontId="10" fillId="4" borderId="11" xfId="37" applyFont="1" applyFill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top"/>
    </xf>
    <xf numFmtId="43" fontId="38" fillId="2" borderId="10" xfId="0" applyNumberFormat="1" applyFont="1" applyFill="1" applyBorder="1"/>
    <xf numFmtId="43" fontId="38" fillId="0" borderId="7" xfId="37" applyFont="1" applyFill="1" applyBorder="1" applyAlignment="1">
      <alignment vertical="center"/>
    </xf>
    <xf numFmtId="43" fontId="38" fillId="0" borderId="7" xfId="37" applyFont="1" applyBorder="1" applyAlignment="1">
      <alignment vertical="center"/>
    </xf>
    <xf numFmtId="15" fontId="0" fillId="0" borderId="0" xfId="0" applyNumberFormat="1"/>
    <xf numFmtId="0" fontId="10" fillId="4" borderId="5" xfId="1" applyFont="1" applyFill="1" applyBorder="1" applyAlignment="1">
      <alignment horizontal="left" vertical="top" wrapText="1"/>
    </xf>
    <xf numFmtId="0" fontId="10" fillId="4" borderId="12" xfId="1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top"/>
    </xf>
    <xf numFmtId="41" fontId="10" fillId="4" borderId="10" xfId="0" applyNumberFormat="1" applyFont="1" applyFill="1" applyBorder="1" applyAlignment="1">
      <alignment horizontal="center" vertical="center" wrapText="1"/>
    </xf>
    <xf numFmtId="41" fontId="11" fillId="4" borderId="1" xfId="1" applyNumberFormat="1" applyFont="1" applyFill="1" applyBorder="1" applyAlignment="1">
      <alignment horizontal="center" vertical="top"/>
    </xf>
    <xf numFmtId="41" fontId="33" fillId="4" borderId="11" xfId="0" applyNumberFormat="1" applyFont="1" applyFill="1" applyBorder="1" applyAlignment="1">
      <alignment horizontal="center" vertical="center" wrapText="1"/>
    </xf>
    <xf numFmtId="43" fontId="10" fillId="4" borderId="0" xfId="1" applyNumberFormat="1" applyFont="1" applyFill="1" applyAlignment="1">
      <alignment horizontal="center" vertical="top"/>
    </xf>
    <xf numFmtId="2" fontId="10" fillId="4" borderId="0" xfId="1" applyNumberFormat="1" applyFont="1" applyFill="1" applyAlignment="1">
      <alignment horizontal="center" vertical="top"/>
    </xf>
    <xf numFmtId="41" fontId="17" fillId="4" borderId="10" xfId="1" applyNumberFormat="1" applyFont="1" applyFill="1" applyBorder="1" applyAlignment="1">
      <alignment horizontal="left" vertical="top" wrapText="1"/>
    </xf>
    <xf numFmtId="41" fontId="33" fillId="4" borderId="10" xfId="1" applyNumberFormat="1" applyFont="1" applyFill="1" applyBorder="1" applyAlignment="1">
      <alignment horizontal="left" vertical="top" wrapText="1"/>
    </xf>
    <xf numFmtId="43" fontId="10" fillId="4" borderId="12" xfId="37" applyFont="1" applyFill="1" applyBorder="1" applyAlignment="1">
      <alignment horizontal="left" vertical="top" wrapText="1"/>
    </xf>
    <xf numFmtId="0" fontId="11" fillId="4" borderId="0" xfId="1" applyFont="1" applyFill="1" applyAlignment="1">
      <alignment horizontal="center"/>
    </xf>
    <xf numFmtId="41" fontId="10" fillId="4" borderId="11" xfId="1" applyNumberFormat="1" applyFont="1" applyFill="1" applyBorder="1" applyAlignment="1">
      <alignment horizontal="left" vertical="top"/>
    </xf>
    <xf numFmtId="41" fontId="17" fillId="4" borderId="11" xfId="1" applyNumberFormat="1" applyFont="1" applyFill="1" applyBorder="1" applyAlignment="1">
      <alignment horizontal="left" vertical="top"/>
    </xf>
    <xf numFmtId="41" fontId="33" fillId="4" borderId="11" xfId="1" applyNumberFormat="1" applyFont="1" applyFill="1" applyBorder="1" applyAlignment="1">
      <alignment horizontal="left" vertical="top"/>
    </xf>
    <xf numFmtId="43" fontId="10" fillId="4" borderId="11" xfId="37" applyFont="1" applyFill="1" applyBorder="1" applyAlignment="1">
      <alignment horizontal="left" vertical="top"/>
    </xf>
    <xf numFmtId="41" fontId="17" fillId="4" borderId="10" xfId="1" applyNumberFormat="1" applyFont="1" applyFill="1" applyBorder="1" applyAlignment="1">
      <alignment horizontal="center" vertical="top"/>
    </xf>
    <xf numFmtId="41" fontId="33" fillId="4" borderId="10" xfId="1" applyNumberFormat="1" applyFont="1" applyFill="1" applyBorder="1" applyAlignment="1">
      <alignment horizontal="center" vertical="top"/>
    </xf>
    <xf numFmtId="41" fontId="21" fillId="4" borderId="8" xfId="0" applyNumberFormat="1" applyFont="1" applyFill="1" applyBorder="1" applyAlignment="1">
      <alignment horizontal="center" vertical="center" wrapText="1"/>
    </xf>
    <xf numFmtId="41" fontId="34" fillId="4" borderId="8" xfId="0" applyNumberFormat="1" applyFont="1" applyFill="1" applyBorder="1" applyAlignment="1">
      <alignment vertical="top"/>
    </xf>
    <xf numFmtId="41" fontId="21" fillId="4" borderId="8" xfId="0" applyNumberFormat="1" applyFont="1" applyFill="1" applyBorder="1" applyAlignment="1">
      <alignment vertical="top"/>
    </xf>
    <xf numFmtId="41" fontId="34" fillId="4" borderId="12" xfId="0" applyNumberFormat="1" applyFont="1" applyFill="1" applyBorder="1" applyAlignment="1">
      <alignment vertical="top"/>
    </xf>
    <xf numFmtId="41" fontId="21" fillId="4" borderId="12" xfId="0" applyNumberFormat="1" applyFont="1" applyFill="1" applyBorder="1" applyAlignment="1">
      <alignment vertical="top"/>
    </xf>
    <xf numFmtId="0" fontId="11" fillId="4" borderId="14" xfId="1" applyFont="1" applyFill="1" applyBorder="1" applyAlignment="1">
      <alignment horizontal="left" vertical="top" wrapText="1"/>
    </xf>
    <xf numFmtId="41" fontId="21" fillId="4" borderId="8" xfId="0" applyNumberFormat="1" applyFont="1" applyFill="1" applyBorder="1" applyAlignment="1">
      <alignment horizontal="center" vertical="top" wrapText="1"/>
    </xf>
    <xf numFmtId="41" fontId="11" fillId="4" borderId="13" xfId="0" applyNumberFormat="1" applyFont="1" applyFill="1" applyBorder="1" applyAlignment="1">
      <alignment vertical="top"/>
    </xf>
    <xf numFmtId="41" fontId="34" fillId="4" borderId="13" xfId="0" applyNumberFormat="1" applyFont="1" applyFill="1" applyBorder="1" applyAlignment="1">
      <alignment vertical="top"/>
    </xf>
    <xf numFmtId="41" fontId="21" fillId="4" borderId="13" xfId="0" applyNumberFormat="1" applyFont="1" applyFill="1" applyBorder="1" applyAlignment="1">
      <alignment vertical="top"/>
    </xf>
    <xf numFmtId="41" fontId="34" fillId="4" borderId="10" xfId="0" applyNumberFormat="1" applyFont="1" applyFill="1" applyBorder="1" applyAlignment="1">
      <alignment vertical="top"/>
    </xf>
    <xf numFmtId="41" fontId="21" fillId="4" borderId="10" xfId="0" applyNumberFormat="1" applyFont="1" applyFill="1" applyBorder="1" applyAlignment="1">
      <alignment vertical="top"/>
    </xf>
    <xf numFmtId="0" fontId="11" fillId="4" borderId="1" xfId="1" applyFont="1" applyFill="1" applyBorder="1" applyAlignment="1">
      <alignment horizontal="left" vertical="top" wrapText="1"/>
    </xf>
    <xf numFmtId="41" fontId="21" fillId="4" borderId="12" xfId="0" applyNumberFormat="1" applyFont="1" applyFill="1" applyBorder="1" applyAlignment="1">
      <alignment horizontal="center" vertical="center" wrapText="1"/>
    </xf>
    <xf numFmtId="41" fontId="10" fillId="4" borderId="10" xfId="1" applyNumberFormat="1" applyFont="1" applyFill="1" applyBorder="1" applyAlignment="1">
      <alignment vertical="top" wrapText="1"/>
    </xf>
    <xf numFmtId="41" fontId="17" fillId="4" borderId="10" xfId="1" applyNumberFormat="1" applyFont="1" applyFill="1" applyBorder="1" applyAlignment="1">
      <alignment vertical="top" wrapText="1"/>
    </xf>
    <xf numFmtId="41" fontId="33" fillId="4" borderId="10" xfId="1" applyNumberFormat="1" applyFont="1" applyFill="1" applyBorder="1" applyAlignment="1">
      <alignment vertical="top" wrapText="1"/>
    </xf>
    <xf numFmtId="43" fontId="10" fillId="4" borderId="10" xfId="37" applyFont="1" applyFill="1" applyBorder="1" applyAlignment="1">
      <alignment vertical="top" wrapText="1"/>
    </xf>
    <xf numFmtId="41" fontId="11" fillId="4" borderId="6" xfId="0" applyNumberFormat="1" applyFont="1" applyFill="1" applyBorder="1" applyAlignment="1">
      <alignment vertical="top"/>
    </xf>
    <xf numFmtId="41" fontId="17" fillId="4" borderId="11" xfId="1" applyNumberFormat="1" applyFont="1" applyFill="1" applyBorder="1" applyAlignment="1">
      <alignment horizontal="center" vertical="top"/>
    </xf>
    <xf numFmtId="41" fontId="33" fillId="4" borderId="11" xfId="1" applyNumberFormat="1" applyFont="1" applyFill="1" applyBorder="1" applyAlignment="1">
      <alignment horizontal="center" vertical="top"/>
    </xf>
    <xf numFmtId="43" fontId="10" fillId="4" borderId="11" xfId="37" applyFont="1" applyFill="1" applyBorder="1" applyAlignment="1">
      <alignment horizontal="center" vertical="top"/>
    </xf>
    <xf numFmtId="41" fontId="34" fillId="4" borderId="12" xfId="0" applyNumberFormat="1" applyFont="1" applyFill="1" applyBorder="1" applyAlignment="1">
      <alignment horizontal="center" vertical="top" wrapText="1"/>
    </xf>
    <xf numFmtId="0" fontId="16" fillId="4" borderId="14" xfId="1" applyFont="1" applyFill="1" applyBorder="1" applyAlignment="1">
      <alignment horizontal="left" vertical="top" wrapText="1"/>
    </xf>
    <xf numFmtId="41" fontId="16" fillId="4" borderId="13" xfId="0" applyNumberFormat="1" applyFont="1" applyFill="1" applyBorder="1" applyAlignment="1">
      <alignment vertical="top"/>
    </xf>
    <xf numFmtId="41" fontId="29" fillId="4" borderId="13" xfId="0" applyNumberFormat="1" applyFont="1" applyFill="1" applyBorder="1" applyAlignment="1">
      <alignment horizontal="center" vertical="center" wrapText="1"/>
    </xf>
    <xf numFmtId="41" fontId="35" fillId="4" borderId="13" xfId="0" applyNumberFormat="1" applyFont="1" applyFill="1" applyBorder="1" applyAlignment="1">
      <alignment vertical="top"/>
    </xf>
    <xf numFmtId="41" fontId="29" fillId="4" borderId="13" xfId="0" applyNumberFormat="1" applyFont="1" applyFill="1" applyBorder="1" applyAlignment="1">
      <alignment vertical="top"/>
    </xf>
    <xf numFmtId="43" fontId="16" fillId="4" borderId="13" xfId="37" applyFont="1" applyFill="1" applyBorder="1" applyAlignment="1">
      <alignment vertical="top"/>
    </xf>
    <xf numFmtId="0" fontId="15" fillId="4" borderId="15" xfId="0" applyFont="1" applyFill="1" applyBorder="1" applyAlignment="1">
      <alignment horizontal="center" vertical="center" wrapText="1"/>
    </xf>
    <xf numFmtId="41" fontId="21" fillId="4" borderId="11" xfId="0" applyNumberFormat="1" applyFont="1" applyFill="1" applyBorder="1" applyAlignment="1">
      <alignment vertical="top"/>
    </xf>
    <xf numFmtId="41" fontId="34" fillId="4" borderId="11" xfId="0" applyNumberFormat="1" applyFont="1" applyFill="1" applyBorder="1" applyAlignment="1">
      <alignment vertical="top"/>
    </xf>
    <xf numFmtId="43" fontId="11" fillId="4" borderId="11" xfId="37" applyFont="1" applyFill="1" applyBorder="1" applyAlignment="1">
      <alignment vertical="top"/>
    </xf>
    <xf numFmtId="41" fontId="11" fillId="4" borderId="10" xfId="3" applyNumberFormat="1" applyFont="1" applyFill="1" applyBorder="1" applyAlignment="1">
      <alignment vertical="top"/>
    </xf>
    <xf numFmtId="41" fontId="34" fillId="4" borderId="10" xfId="0" applyNumberFormat="1" applyFont="1" applyFill="1" applyBorder="1" applyAlignment="1">
      <alignment horizontal="center" vertical="center" wrapText="1"/>
    </xf>
    <xf numFmtId="41" fontId="21" fillId="4" borderId="10" xfId="3" applyNumberFormat="1" applyFont="1" applyFill="1" applyBorder="1" applyAlignment="1">
      <alignment horizontal="center" vertical="top" wrapText="1"/>
    </xf>
    <xf numFmtId="41" fontId="11" fillId="4" borderId="10" xfId="3" applyNumberFormat="1" applyFont="1" applyFill="1" applyBorder="1" applyAlignment="1">
      <alignment vertical="center"/>
    </xf>
    <xf numFmtId="43" fontId="11" fillId="4" borderId="10" xfId="37" applyFont="1" applyFill="1" applyBorder="1" applyAlignment="1">
      <alignment vertical="center"/>
    </xf>
    <xf numFmtId="41" fontId="11" fillId="4" borderId="12" xfId="3" applyNumberFormat="1" applyFont="1" applyFill="1" applyBorder="1" applyAlignment="1">
      <alignment vertical="top"/>
    </xf>
    <xf numFmtId="41" fontId="21" fillId="4" borderId="12" xfId="3" applyNumberFormat="1" applyFont="1" applyFill="1" applyBorder="1" applyAlignment="1">
      <alignment horizontal="center" vertical="top" wrapText="1"/>
    </xf>
    <xf numFmtId="41" fontId="11" fillId="4" borderId="8" xfId="3" applyNumberFormat="1" applyFont="1" applyFill="1" applyBorder="1" applyAlignment="1">
      <alignment vertical="top"/>
    </xf>
    <xf numFmtId="41" fontId="21" fillId="4" borderId="12" xfId="3" applyNumberFormat="1" applyFont="1" applyFill="1" applyBorder="1" applyAlignment="1">
      <alignment vertical="top"/>
    </xf>
    <xf numFmtId="41" fontId="2" fillId="4" borderId="12" xfId="0" applyNumberFormat="1" applyFont="1" applyFill="1" applyBorder="1" applyAlignment="1">
      <alignment horizontal="center" vertical="top" wrapText="1"/>
    </xf>
    <xf numFmtId="41" fontId="21" fillId="4" borderId="8" xfId="3" applyNumberFormat="1" applyFont="1" applyFill="1" applyBorder="1" applyAlignment="1">
      <alignment horizontal="center" vertical="center" wrapText="1"/>
    </xf>
    <xf numFmtId="41" fontId="34" fillId="4" borderId="11" xfId="0" applyNumberFormat="1" applyFont="1" applyFill="1" applyBorder="1" applyAlignment="1">
      <alignment vertical="center" wrapText="1"/>
    </xf>
    <xf numFmtId="41" fontId="11" fillId="4" borderId="12" xfId="0" applyNumberFormat="1" applyFont="1" applyFill="1" applyBorder="1" applyAlignment="1">
      <alignment horizontal="center" vertical="top"/>
    </xf>
    <xf numFmtId="3" fontId="30" fillId="4" borderId="10" xfId="0" applyNumberFormat="1" applyFont="1" applyFill="1" applyBorder="1" applyAlignment="1">
      <alignment horizontal="center" vertical="center" wrapText="1"/>
    </xf>
    <xf numFmtId="41" fontId="34" fillId="4" borderId="12" xfId="0" applyNumberFormat="1" applyFont="1" applyFill="1" applyBorder="1" applyAlignment="1">
      <alignment horizontal="center" vertical="top"/>
    </xf>
    <xf numFmtId="41" fontId="21" fillId="4" borderId="12" xfId="0" applyNumberFormat="1" applyFont="1" applyFill="1" applyBorder="1" applyAlignment="1">
      <alignment horizontal="center" vertical="top"/>
    </xf>
    <xf numFmtId="43" fontId="11" fillId="4" borderId="12" xfId="37" applyFont="1" applyFill="1" applyBorder="1" applyAlignment="1">
      <alignment horizontal="center" vertical="top"/>
    </xf>
    <xf numFmtId="41" fontId="10" fillId="4" borderId="7" xfId="1" applyNumberFormat="1" applyFont="1" applyFill="1" applyBorder="1" applyAlignment="1">
      <alignment horizontal="center" vertical="top"/>
    </xf>
    <xf numFmtId="41" fontId="33" fillId="4" borderId="7" xfId="1" applyNumberFormat="1" applyFont="1" applyFill="1" applyBorder="1" applyAlignment="1">
      <alignment horizontal="center" vertical="top"/>
    </xf>
    <xf numFmtId="41" fontId="17" fillId="4" borderId="7" xfId="1" applyNumberFormat="1" applyFont="1" applyFill="1" applyBorder="1" applyAlignment="1">
      <alignment horizontal="center" vertical="top"/>
    </xf>
    <xf numFmtId="43" fontId="10" fillId="4" borderId="7" xfId="37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top"/>
    </xf>
    <xf numFmtId="0" fontId="11" fillId="4" borderId="3" xfId="1" applyFont="1" applyFill="1" applyBorder="1" applyAlignment="1">
      <alignment horizontal="center" vertical="top"/>
    </xf>
    <xf numFmtId="0" fontId="11" fillId="4" borderId="4" xfId="1" applyFont="1" applyFill="1" applyBorder="1" applyAlignment="1">
      <alignment horizontal="left" vertical="top" wrapText="1"/>
    </xf>
    <xf numFmtId="41" fontId="11" fillId="4" borderId="17" xfId="0" applyNumberFormat="1" applyFont="1" applyFill="1" applyBorder="1" applyAlignment="1">
      <alignment vertical="top"/>
    </xf>
    <xf numFmtId="41" fontId="11" fillId="4" borderId="16" xfId="0" applyNumberFormat="1" applyFont="1" applyFill="1" applyBorder="1" applyAlignment="1">
      <alignment vertical="top"/>
    </xf>
    <xf numFmtId="41" fontId="34" fillId="4" borderId="2" xfId="0" applyNumberFormat="1" applyFont="1" applyFill="1" applyBorder="1" applyAlignment="1">
      <alignment vertical="top"/>
    </xf>
    <xf numFmtId="41" fontId="21" fillId="4" borderId="2" xfId="0" applyNumberFormat="1" applyFont="1" applyFill="1" applyBorder="1" applyAlignment="1">
      <alignment vertical="top"/>
    </xf>
    <xf numFmtId="41" fontId="11" fillId="4" borderId="2" xfId="0" applyNumberFormat="1" applyFont="1" applyFill="1" applyBorder="1" applyAlignment="1">
      <alignment vertical="top"/>
    </xf>
    <xf numFmtId="43" fontId="11" fillId="4" borderId="2" xfId="37" applyFont="1" applyFill="1" applyBorder="1" applyAlignment="1">
      <alignment vertical="top"/>
    </xf>
    <xf numFmtId="0" fontId="10" fillId="4" borderId="3" xfId="1" applyFont="1" applyFill="1" applyBorder="1" applyAlignment="1">
      <alignment horizontal="left" vertical="top" wrapText="1"/>
    </xf>
    <xf numFmtId="41" fontId="29" fillId="4" borderId="8" xfId="0" applyNumberFormat="1" applyFont="1" applyFill="1" applyBorder="1" applyAlignment="1">
      <alignment horizontal="center" vertical="center" wrapText="1"/>
    </xf>
    <xf numFmtId="41" fontId="21" fillId="4" borderId="12" xfId="0" applyNumberFormat="1" applyFont="1" applyFill="1" applyBorder="1" applyAlignment="1">
      <alignment horizontal="center" vertical="top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vertical="top" wrapText="1"/>
    </xf>
    <xf numFmtId="0" fontId="11" fillId="4" borderId="14" xfId="1" applyFont="1" applyFill="1" applyBorder="1" applyAlignment="1">
      <alignment vertical="top" wrapText="1"/>
    </xf>
    <xf numFmtId="41" fontId="35" fillId="4" borderId="12" xfId="0" applyNumberFormat="1" applyFont="1" applyFill="1" applyBorder="1" applyAlignment="1">
      <alignment horizontal="center" vertical="top" wrapText="1"/>
    </xf>
    <xf numFmtId="41" fontId="15" fillId="4" borderId="10" xfId="0" applyNumberFormat="1" applyFont="1" applyFill="1" applyBorder="1" applyAlignment="1">
      <alignment horizontal="center" vertical="top" wrapText="1"/>
    </xf>
    <xf numFmtId="41" fontId="36" fillId="4" borderId="6" xfId="0" applyNumberFormat="1" applyFont="1" applyFill="1" applyBorder="1" applyAlignment="1">
      <alignment horizontal="center" vertical="center"/>
    </xf>
    <xf numFmtId="41" fontId="31" fillId="4" borderId="6" xfId="0" applyNumberFormat="1" applyFont="1" applyFill="1" applyBorder="1" applyAlignment="1">
      <alignment horizontal="center" vertical="center"/>
    </xf>
    <xf numFmtId="41" fontId="9" fillId="4" borderId="6" xfId="0" applyNumberFormat="1" applyFont="1" applyFill="1" applyBorder="1" applyAlignment="1">
      <alignment horizontal="center" vertical="center"/>
    </xf>
    <xf numFmtId="43" fontId="9" fillId="4" borderId="6" xfId="37" applyFont="1" applyFill="1" applyBorder="1" applyAlignment="1">
      <alignment horizontal="center" vertical="center"/>
    </xf>
    <xf numFmtId="188" fontId="11" fillId="4" borderId="8" xfId="37" applyNumberFormat="1" applyFont="1" applyFill="1" applyBorder="1" applyAlignment="1">
      <alignment vertical="top"/>
    </xf>
    <xf numFmtId="0" fontId="11" fillId="4" borderId="9" xfId="1" applyFont="1" applyFill="1" applyBorder="1" applyAlignment="1">
      <alignment horizontal="left" vertical="top"/>
    </xf>
    <xf numFmtId="41" fontId="34" fillId="4" borderId="8" xfId="3" applyNumberFormat="1" applyFont="1" applyFill="1" applyBorder="1" applyAlignment="1">
      <alignment vertical="top"/>
    </xf>
    <xf numFmtId="41" fontId="21" fillId="4" borderId="8" xfId="3" applyNumberFormat="1" applyFont="1" applyFill="1" applyBorder="1" applyAlignment="1">
      <alignment vertical="top"/>
    </xf>
    <xf numFmtId="0" fontId="2" fillId="4" borderId="11" xfId="0" applyFont="1" applyFill="1" applyBorder="1" applyAlignment="1">
      <alignment vertical="center" wrapText="1"/>
    </xf>
    <xf numFmtId="41" fontId="17" fillId="4" borderId="10" xfId="1" applyNumberFormat="1" applyFont="1" applyFill="1" applyBorder="1" applyAlignment="1">
      <alignment horizontal="left" vertical="top"/>
    </xf>
    <xf numFmtId="41" fontId="33" fillId="4" borderId="10" xfId="1" applyNumberFormat="1" applyFont="1" applyFill="1" applyBorder="1" applyAlignment="1">
      <alignment horizontal="left" vertical="top"/>
    </xf>
    <xf numFmtId="43" fontId="10" fillId="4" borderId="12" xfId="37" applyFont="1" applyFill="1" applyBorder="1" applyAlignment="1">
      <alignment horizontal="left" vertical="top"/>
    </xf>
    <xf numFmtId="41" fontId="34" fillId="4" borderId="17" xfId="0" applyNumberFormat="1" applyFont="1" applyFill="1" applyBorder="1" applyAlignment="1">
      <alignment vertical="top"/>
    </xf>
    <xf numFmtId="41" fontId="21" fillId="4" borderId="17" xfId="0" applyNumberFormat="1" applyFont="1" applyFill="1" applyBorder="1" applyAlignment="1">
      <alignment vertical="top"/>
    </xf>
    <xf numFmtId="43" fontId="11" fillId="4" borderId="17" xfId="37" applyFont="1" applyFill="1" applyBorder="1" applyAlignment="1">
      <alignment vertical="top"/>
    </xf>
    <xf numFmtId="43" fontId="10" fillId="4" borderId="15" xfId="37" applyFont="1" applyFill="1" applyBorder="1" applyAlignment="1">
      <alignment horizontal="center" vertical="top"/>
    </xf>
    <xf numFmtId="41" fontId="17" fillId="4" borderId="15" xfId="1" applyNumberFormat="1" applyFont="1" applyFill="1" applyBorder="1" applyAlignment="1">
      <alignment horizontal="center" vertical="top"/>
    </xf>
    <xf numFmtId="41" fontId="33" fillId="4" borderId="15" xfId="1" applyNumberFormat="1" applyFont="1" applyFill="1" applyBorder="1" applyAlignment="1">
      <alignment horizontal="center" vertical="top"/>
    </xf>
    <xf numFmtId="41" fontId="10" fillId="4" borderId="15" xfId="1" applyNumberFormat="1" applyFont="1" applyFill="1" applyBorder="1" applyAlignment="1">
      <alignment horizontal="center" vertical="top"/>
    </xf>
    <xf numFmtId="43" fontId="11" fillId="4" borderId="6" xfId="37" applyFont="1" applyFill="1" applyBorder="1" applyAlignment="1">
      <alignment vertical="top"/>
    </xf>
    <xf numFmtId="0" fontId="2" fillId="4" borderId="6" xfId="0" applyFont="1" applyFill="1" applyBorder="1" applyAlignment="1">
      <alignment horizontal="center" vertical="center" wrapText="1"/>
    </xf>
    <xf numFmtId="41" fontId="35" fillId="4" borderId="10" xfId="0" applyNumberFormat="1" applyFont="1" applyFill="1" applyBorder="1" applyAlignment="1">
      <alignment horizontal="center" vertical="top" wrapText="1"/>
    </xf>
    <xf numFmtId="41" fontId="21" fillId="4" borderId="6" xfId="0" applyNumberFormat="1" applyFont="1" applyFill="1" applyBorder="1" applyAlignment="1">
      <alignment horizontal="center" vertical="top" wrapText="1"/>
    </xf>
    <xf numFmtId="41" fontId="34" fillId="4" borderId="6" xfId="0" applyNumberFormat="1" applyFont="1" applyFill="1" applyBorder="1" applyAlignment="1">
      <alignment horizontal="center" vertical="top" wrapText="1"/>
    </xf>
    <xf numFmtId="41" fontId="21" fillId="4" borderId="6" xfId="0" applyNumberFormat="1" applyFont="1" applyFill="1" applyBorder="1" applyAlignment="1">
      <alignment vertical="top" wrapText="1"/>
    </xf>
    <xf numFmtId="0" fontId="11" fillId="4" borderId="1" xfId="1" applyFont="1" applyFill="1" applyBorder="1" applyAlignment="1">
      <alignment horizontal="left" vertical="top"/>
    </xf>
    <xf numFmtId="41" fontId="21" fillId="4" borderId="9" xfId="0" applyNumberFormat="1" applyFont="1" applyFill="1" applyBorder="1" applyAlignment="1">
      <alignment horizontal="center" vertical="top" wrapText="1"/>
    </xf>
    <xf numFmtId="43" fontId="11" fillId="4" borderId="9" xfId="37" applyFont="1" applyFill="1" applyBorder="1" applyAlignment="1">
      <alignment vertical="top"/>
    </xf>
    <xf numFmtId="43" fontId="10" fillId="4" borderId="6" xfId="37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center"/>
    </xf>
    <xf numFmtId="41" fontId="21" fillId="4" borderId="10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10" fillId="4" borderId="20" xfId="1" applyFont="1" applyFill="1" applyBorder="1" applyAlignment="1">
      <alignment horizontal="center" vertical="top"/>
    </xf>
    <xf numFmtId="0" fontId="10" fillId="4" borderId="21" xfId="1" applyFont="1" applyFill="1" applyBorder="1" applyAlignment="1">
      <alignment horizontal="center" vertical="top"/>
    </xf>
    <xf numFmtId="0" fontId="11" fillId="4" borderId="18" xfId="1" applyFont="1" applyFill="1" applyBorder="1" applyAlignment="1">
      <alignment horizontal="left" vertical="top" wrapText="1"/>
    </xf>
    <xf numFmtId="41" fontId="11" fillId="4" borderId="20" xfId="0" applyNumberFormat="1" applyFont="1" applyFill="1" applyBorder="1" applyAlignment="1">
      <alignment vertical="top"/>
    </xf>
    <xf numFmtId="41" fontId="34" fillId="4" borderId="20" xfId="0" applyNumberFormat="1" applyFont="1" applyFill="1" applyBorder="1" applyAlignment="1">
      <alignment vertical="top"/>
    </xf>
    <xf numFmtId="41" fontId="21" fillId="4" borderId="20" xfId="0" applyNumberFormat="1" applyFont="1" applyFill="1" applyBorder="1" applyAlignment="1">
      <alignment vertical="top"/>
    </xf>
    <xf numFmtId="0" fontId="2" fillId="4" borderId="19" xfId="0" applyFont="1" applyFill="1" applyBorder="1" applyAlignment="1">
      <alignment horizontal="center" vertical="center" wrapText="1"/>
    </xf>
    <xf numFmtId="41" fontId="11" fillId="4" borderId="6" xfId="1" applyNumberFormat="1" applyFont="1" applyFill="1" applyBorder="1" applyAlignment="1">
      <alignment horizontal="left" vertical="top" wrapText="1"/>
    </xf>
    <xf numFmtId="41" fontId="11" fillId="4" borderId="9" xfId="1" applyNumberFormat="1" applyFont="1" applyFill="1" applyBorder="1" applyAlignment="1">
      <alignment horizontal="left" vertical="top" wrapText="1"/>
    </xf>
    <xf numFmtId="41" fontId="2" fillId="4" borderId="11" xfId="1" applyNumberFormat="1" applyFont="1" applyFill="1" applyBorder="1" applyAlignment="1">
      <alignment horizontal="center" vertical="center" wrapText="1"/>
    </xf>
    <xf numFmtId="41" fontId="2" fillId="4" borderId="10" xfId="1" applyNumberFormat="1" applyFont="1" applyFill="1" applyBorder="1" applyAlignment="1">
      <alignment horizontal="center" vertical="center" wrapText="1"/>
    </xf>
    <xf numFmtId="41" fontId="11" fillId="4" borderId="14" xfId="1" applyNumberFormat="1" applyFont="1" applyFill="1" applyBorder="1" applyAlignment="1">
      <alignment horizontal="left" vertical="top" wrapText="1"/>
    </xf>
    <xf numFmtId="41" fontId="11" fillId="4" borderId="5" xfId="1" applyNumberFormat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center" vertical="top" wrapText="1"/>
    </xf>
    <xf numFmtId="41" fontId="21" fillId="4" borderId="0" xfId="1" applyNumberFormat="1" applyFont="1" applyFill="1" applyAlignment="1">
      <alignment horizontal="center" vertical="top"/>
    </xf>
    <xf numFmtId="41" fontId="34" fillId="4" borderId="0" xfId="1" applyNumberFormat="1" applyFont="1" applyFill="1" applyAlignment="1">
      <alignment horizontal="center" vertical="top"/>
    </xf>
    <xf numFmtId="43" fontId="11" fillId="4" borderId="0" xfId="37" applyFont="1" applyFill="1" applyAlignment="1">
      <alignment horizontal="center" vertical="top"/>
    </xf>
    <xf numFmtId="43" fontId="11" fillId="4" borderId="0" xfId="1" applyNumberFormat="1" applyFont="1" applyFill="1" applyAlignment="1">
      <alignment horizontal="center" vertical="top"/>
    </xf>
    <xf numFmtId="41" fontId="21" fillId="4" borderId="7" xfId="0" applyNumberFormat="1" applyFont="1" applyFill="1" applyBorder="1" applyAlignment="1">
      <alignment horizontal="center" vertical="top" wrapText="1"/>
    </xf>
    <xf numFmtId="43" fontId="38" fillId="2" borderId="10" xfId="37" applyFont="1" applyFill="1" applyBorder="1"/>
    <xf numFmtId="0" fontId="10" fillId="4" borderId="5" xfId="1" applyFont="1" applyFill="1" applyBorder="1" applyAlignment="1">
      <alignment horizontal="left" vertical="top" wrapText="1"/>
    </xf>
    <xf numFmtId="41" fontId="10" fillId="4" borderId="11" xfId="0" applyNumberFormat="1" applyFont="1" applyFill="1" applyBorder="1" applyAlignment="1">
      <alignment horizontal="center" vertical="center" wrapText="1"/>
    </xf>
    <xf numFmtId="41" fontId="10" fillId="4" borderId="10" xfId="0" applyNumberFormat="1" applyFont="1" applyFill="1" applyBorder="1" applyAlignment="1">
      <alignment horizontal="center" vertical="center" wrapText="1"/>
    </xf>
    <xf numFmtId="0" fontId="10" fillId="4" borderId="0" xfId="29" applyFont="1" applyFill="1" applyAlignment="1">
      <alignment vertical="top" wrapText="1"/>
    </xf>
    <xf numFmtId="0" fontId="10" fillId="4" borderId="0" xfId="29" applyFont="1" applyFill="1" applyAlignment="1">
      <alignment horizontal="center" vertical="center" wrapText="1"/>
    </xf>
    <xf numFmtId="0" fontId="10" fillId="4" borderId="10" xfId="29" applyFont="1" applyFill="1" applyBorder="1" applyAlignment="1">
      <alignment horizontal="left" vertical="top" wrapText="1"/>
    </xf>
    <xf numFmtId="0" fontId="10" fillId="4" borderId="0" xfId="29" applyFont="1" applyFill="1" applyAlignment="1">
      <alignment horizontal="center" vertical="top" wrapText="1"/>
    </xf>
    <xf numFmtId="41" fontId="10" fillId="4" borderId="10" xfId="0" applyNumberFormat="1" applyFont="1" applyFill="1" applyBorder="1" applyAlignment="1">
      <alignment horizontal="center" vertical="top" wrapText="1"/>
    </xf>
    <xf numFmtId="0" fontId="10" fillId="4" borderId="10" xfId="29" applyFont="1" applyFill="1" applyBorder="1" applyAlignment="1">
      <alignment horizontal="center" vertical="top"/>
    </xf>
    <xf numFmtId="0" fontId="4" fillId="4" borderId="10" xfId="29" applyFont="1" applyFill="1" applyBorder="1" applyAlignment="1">
      <alignment horizontal="center" vertical="center" wrapText="1"/>
    </xf>
    <xf numFmtId="0" fontId="11" fillId="4" borderId="0" xfId="29" applyFont="1" applyFill="1" applyAlignment="1">
      <alignment vertical="top" wrapText="1"/>
    </xf>
    <xf numFmtId="0" fontId="11" fillId="4" borderId="12" xfId="29" applyFont="1" applyFill="1" applyBorder="1" applyAlignment="1">
      <alignment horizontal="center" vertical="top"/>
    </xf>
    <xf numFmtId="41" fontId="11" fillId="4" borderId="10" xfId="0" applyNumberFormat="1" applyFont="1" applyFill="1" applyBorder="1" applyAlignment="1">
      <alignment horizontal="right" vertical="top"/>
    </xf>
    <xf numFmtId="41" fontId="19" fillId="4" borderId="10" xfId="0" applyNumberFormat="1" applyFont="1" applyFill="1" applyBorder="1" applyAlignment="1">
      <alignment vertical="top" wrapText="1"/>
    </xf>
    <xf numFmtId="0" fontId="11" fillId="4" borderId="3" xfId="29" applyFont="1" applyFill="1" applyBorder="1" applyAlignment="1">
      <alignment horizontal="left" vertical="top" wrapText="1"/>
    </xf>
    <xf numFmtId="0" fontId="11" fillId="4" borderId="4" xfId="29" applyFont="1" applyFill="1" applyBorder="1" applyAlignment="1">
      <alignment horizontal="left" vertical="top" wrapText="1"/>
    </xf>
    <xf numFmtId="0" fontId="11" fillId="4" borderId="0" xfId="29" applyFont="1" applyFill="1" applyAlignment="1">
      <alignment vertical="top"/>
    </xf>
    <xf numFmtId="0" fontId="11" fillId="4" borderId="8" xfId="29" applyFont="1" applyFill="1" applyBorder="1" applyAlignment="1">
      <alignment horizontal="center" vertical="top"/>
    </xf>
    <xf numFmtId="41" fontId="19" fillId="4" borderId="10" xfId="0" applyNumberFormat="1" applyFont="1" applyFill="1" applyBorder="1" applyAlignment="1">
      <alignment horizontal="right" vertical="top"/>
    </xf>
    <xf numFmtId="0" fontId="11" fillId="4" borderId="5" xfId="29" applyFont="1" applyFill="1" applyBorder="1" applyAlignment="1">
      <alignment horizontal="left" vertical="top"/>
    </xf>
    <xf numFmtId="0" fontId="11" fillId="4" borderId="6" xfId="29" applyFont="1" applyFill="1" applyBorder="1" applyAlignment="1">
      <alignment horizontal="left" vertical="top" wrapText="1"/>
    </xf>
    <xf numFmtId="0" fontId="10" fillId="4" borderId="10" xfId="29" applyFont="1" applyFill="1" applyBorder="1" applyAlignment="1">
      <alignment horizontal="center" vertical="top" wrapText="1"/>
    </xf>
    <xf numFmtId="41" fontId="10" fillId="4" borderId="7" xfId="0" applyNumberFormat="1" applyFont="1" applyFill="1" applyBorder="1" applyAlignment="1">
      <alignment horizontal="right" vertical="top"/>
    </xf>
    <xf numFmtId="43" fontId="10" fillId="4" borderId="7" xfId="37" applyFont="1" applyFill="1" applyBorder="1" applyAlignment="1">
      <alignment horizontal="right" vertical="top"/>
    </xf>
    <xf numFmtId="41" fontId="10" fillId="4" borderId="12" xfId="0" applyNumberFormat="1" applyFont="1" applyFill="1" applyBorder="1" applyAlignment="1">
      <alignment horizontal="right" vertical="top"/>
    </xf>
    <xf numFmtId="41" fontId="10" fillId="4" borderId="27" xfId="0" applyNumberFormat="1" applyFont="1" applyFill="1" applyBorder="1" applyAlignment="1">
      <alignment vertical="top" wrapText="1"/>
    </xf>
    <xf numFmtId="41" fontId="10" fillId="4" borderId="10" xfId="0" applyNumberFormat="1" applyFont="1" applyFill="1" applyBorder="1" applyAlignment="1">
      <alignment vertical="top" wrapText="1"/>
    </xf>
    <xf numFmtId="0" fontId="10" fillId="4" borderId="11" xfId="29" applyFont="1" applyFill="1" applyBorder="1" applyAlignment="1">
      <alignment horizontal="center" vertical="top"/>
    </xf>
    <xf numFmtId="43" fontId="10" fillId="4" borderId="11" xfId="37" applyFont="1" applyFill="1" applyBorder="1" applyAlignment="1">
      <alignment horizontal="right" vertical="top"/>
    </xf>
    <xf numFmtId="41" fontId="10" fillId="4" borderId="11" xfId="0" applyNumberFormat="1" applyFont="1" applyFill="1" applyBorder="1" applyAlignment="1">
      <alignment horizontal="right" vertical="top"/>
    </xf>
    <xf numFmtId="41" fontId="12" fillId="4" borderId="11" xfId="0" applyNumberFormat="1" applyFont="1" applyFill="1" applyBorder="1" applyAlignment="1">
      <alignment horizontal="right" vertical="top"/>
    </xf>
    <xf numFmtId="43" fontId="10" fillId="4" borderId="26" xfId="37" applyFont="1" applyFill="1" applyBorder="1" applyAlignment="1">
      <alignment vertical="top" wrapText="1"/>
    </xf>
    <xf numFmtId="41" fontId="2" fillId="4" borderId="10" xfId="0" applyNumberFormat="1" applyFont="1" applyFill="1" applyBorder="1" applyAlignment="1">
      <alignment horizontal="center" vertical="top" wrapText="1"/>
    </xf>
    <xf numFmtId="41" fontId="12" fillId="4" borderId="10" xfId="0" applyNumberFormat="1" applyFont="1" applyFill="1" applyBorder="1" applyAlignment="1">
      <alignment vertical="top" wrapText="1"/>
    </xf>
    <xf numFmtId="0" fontId="10" fillId="4" borderId="15" xfId="29" applyFont="1" applyFill="1" applyBorder="1" applyAlignment="1">
      <alignment horizontal="center" vertical="top"/>
    </xf>
    <xf numFmtId="41" fontId="11" fillId="4" borderId="7" xfId="0" applyNumberFormat="1" applyFont="1" applyFill="1" applyBorder="1" applyAlignment="1">
      <alignment horizontal="right" vertical="top"/>
    </xf>
    <xf numFmtId="0" fontId="10" fillId="4" borderId="12" xfId="29" applyFont="1" applyFill="1" applyBorder="1" applyAlignment="1">
      <alignment vertical="top" wrapText="1"/>
    </xf>
    <xf numFmtId="41" fontId="10" fillId="4" borderId="26" xfId="0" applyNumberFormat="1" applyFont="1" applyFill="1" applyBorder="1" applyAlignment="1">
      <alignment vertical="top" wrapText="1"/>
    </xf>
    <xf numFmtId="0" fontId="11" fillId="4" borderId="12" xfId="29" applyFont="1" applyFill="1" applyBorder="1" applyAlignment="1">
      <alignment vertical="top" wrapText="1"/>
    </xf>
    <xf numFmtId="0" fontId="10" fillId="4" borderId="0" xfId="29" applyFont="1" applyFill="1" applyBorder="1" applyAlignment="1">
      <alignment vertical="top" wrapText="1"/>
    </xf>
    <xf numFmtId="41" fontId="19" fillId="4" borderId="11" xfId="0" applyNumberFormat="1" applyFont="1" applyFill="1" applyBorder="1" applyAlignment="1">
      <alignment vertical="top" wrapText="1"/>
    </xf>
    <xf numFmtId="41" fontId="10" fillId="4" borderId="10" xfId="29" applyNumberFormat="1" applyFont="1" applyFill="1" applyBorder="1" applyAlignment="1">
      <alignment horizontal="left" vertical="top" wrapText="1"/>
    </xf>
    <xf numFmtId="1" fontId="11" fillId="4" borderId="0" xfId="29" applyNumberFormat="1" applyFont="1" applyFill="1" applyAlignment="1">
      <alignment horizontal="center" vertical="top" wrapText="1"/>
    </xf>
    <xf numFmtId="0" fontId="11" fillId="4" borderId="0" xfId="29" applyFont="1" applyFill="1" applyAlignment="1">
      <alignment horizontal="left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left" vertical="top"/>
    </xf>
    <xf numFmtId="41" fontId="10" fillId="4" borderId="11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11" fillId="4" borderId="10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vertical="top" wrapText="1"/>
    </xf>
    <xf numFmtId="188" fontId="11" fillId="4" borderId="10" xfId="37" applyNumberFormat="1" applyFont="1" applyFill="1" applyBorder="1" applyAlignment="1">
      <alignment vertical="top"/>
    </xf>
    <xf numFmtId="0" fontId="11" fillId="4" borderId="10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188" fontId="10" fillId="4" borderId="10" xfId="37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0" xfId="0" applyFont="1" applyFill="1" applyAlignment="1">
      <alignment horizontal="center"/>
    </xf>
    <xf numFmtId="0" fontId="46" fillId="0" borderId="0" xfId="0" applyFont="1" applyAlignment="1">
      <alignment vertical="top" wrapText="1"/>
    </xf>
    <xf numFmtId="41" fontId="10" fillId="4" borderId="10" xfId="0" applyNumberFormat="1" applyFont="1" applyFill="1" applyBorder="1" applyAlignment="1">
      <alignment horizontal="center" vertical="center" wrapText="1"/>
    </xf>
    <xf numFmtId="41" fontId="11" fillId="4" borderId="10" xfId="0" applyNumberFormat="1" applyFont="1" applyFill="1" applyBorder="1" applyAlignment="1">
      <alignment horizontal="center" vertical="top" wrapText="1"/>
    </xf>
    <xf numFmtId="43" fontId="10" fillId="4" borderId="7" xfId="37" applyFont="1" applyFill="1" applyBorder="1" applyAlignment="1">
      <alignment vertical="top" wrapText="1"/>
    </xf>
    <xf numFmtId="43" fontId="16" fillId="4" borderId="15" xfId="37" applyFont="1" applyFill="1" applyBorder="1" applyAlignment="1">
      <alignment vertical="top"/>
    </xf>
    <xf numFmtId="43" fontId="11" fillId="4" borderId="11" xfId="37" applyFont="1" applyFill="1" applyBorder="1" applyAlignment="1">
      <alignment vertical="top" wrapText="1"/>
    </xf>
    <xf numFmtId="43" fontId="11" fillId="4" borderId="15" xfId="37" applyFont="1" applyFill="1" applyBorder="1" applyAlignment="1">
      <alignment vertical="top"/>
    </xf>
    <xf numFmtId="43" fontId="11" fillId="4" borderId="19" xfId="37" applyFont="1" applyFill="1" applyBorder="1" applyAlignment="1">
      <alignment vertical="top"/>
    </xf>
    <xf numFmtId="43" fontId="11" fillId="4" borderId="5" xfId="37" applyFont="1" applyFill="1" applyBorder="1" applyAlignment="1">
      <alignment vertical="top"/>
    </xf>
    <xf numFmtId="43" fontId="16" fillId="4" borderId="11" xfId="37" applyFont="1" applyFill="1" applyBorder="1" applyAlignment="1">
      <alignment vertical="top"/>
    </xf>
    <xf numFmtId="43" fontId="11" fillId="4" borderId="12" xfId="37" applyFont="1" applyFill="1" applyBorder="1" applyAlignment="1">
      <alignment horizontal="center" vertical="top" wrapText="1"/>
    </xf>
    <xf numFmtId="43" fontId="11" fillId="4" borderId="7" xfId="37" applyFont="1" applyFill="1" applyBorder="1" applyAlignment="1">
      <alignment vertical="top"/>
    </xf>
    <xf numFmtId="43" fontId="11" fillId="4" borderId="1" xfId="37" applyFont="1" applyFill="1" applyBorder="1" applyAlignment="1">
      <alignment vertical="top"/>
    </xf>
    <xf numFmtId="0" fontId="10" fillId="4" borderId="0" xfId="0" applyFont="1" applyFill="1" applyAlignment="1">
      <alignment horizontal="center" vertical="top" wrapText="1"/>
    </xf>
    <xf numFmtId="0" fontId="9" fillId="4" borderId="1" xfId="1" applyFont="1" applyFill="1" applyBorder="1" applyAlignment="1">
      <alignment vertical="top"/>
    </xf>
    <xf numFmtId="0" fontId="11" fillId="4" borderId="0" xfId="0" applyFont="1" applyFill="1" applyAlignment="1">
      <alignment vertical="center" wrapText="1"/>
    </xf>
    <xf numFmtId="43" fontId="10" fillId="4" borderId="10" xfId="37" applyFont="1" applyFill="1" applyBorder="1" applyAlignment="1">
      <alignment horizontal="right" vertical="top" wrapText="1"/>
    </xf>
    <xf numFmtId="0" fontId="10" fillId="4" borderId="10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horizontal="center" vertical="top" wrapText="1"/>
    </xf>
    <xf numFmtId="41" fontId="10" fillId="4" borderId="10" xfId="37" applyNumberFormat="1" applyFont="1" applyFill="1" applyBorder="1" applyAlignment="1">
      <alignment vertical="top" wrapText="1"/>
    </xf>
    <xf numFmtId="41" fontId="10" fillId="4" borderId="10" xfId="37" applyNumberFormat="1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top" wrapText="1"/>
    </xf>
    <xf numFmtId="41" fontId="11" fillId="4" borderId="10" xfId="0" applyNumberFormat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43" fontId="11" fillId="4" borderId="0" xfId="37" applyFont="1" applyFill="1" applyAlignment="1">
      <alignment vertical="top" wrapText="1"/>
    </xf>
    <xf numFmtId="43" fontId="11" fillId="4" borderId="0" xfId="0" applyNumberFormat="1" applyFont="1" applyFill="1" applyAlignment="1">
      <alignment vertical="top" wrapText="1"/>
    </xf>
    <xf numFmtId="0" fontId="11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43" fontId="13" fillId="4" borderId="10" xfId="0" applyNumberFormat="1" applyFont="1" applyFill="1" applyBorder="1" applyAlignment="1">
      <alignment vertical="top" wrapText="1"/>
    </xf>
    <xf numFmtId="0" fontId="13" fillId="4" borderId="10" xfId="0" applyFont="1" applyFill="1" applyBorder="1" applyAlignment="1">
      <alignment vertical="top" wrapText="1"/>
    </xf>
    <xf numFmtId="43" fontId="10" fillId="4" borderId="10" xfId="0" applyNumberFormat="1" applyFont="1" applyFill="1" applyBorder="1" applyAlignment="1">
      <alignment vertical="top" wrapText="1"/>
    </xf>
    <xf numFmtId="0" fontId="11" fillId="4" borderId="10" xfId="0" applyFont="1" applyFill="1" applyBorder="1" applyAlignment="1">
      <alignment horizontal="left" vertical="top" wrapText="1"/>
    </xf>
    <xf numFmtId="43" fontId="11" fillId="4" borderId="10" xfId="0" applyNumberFormat="1" applyFont="1" applyFill="1" applyBorder="1" applyAlignment="1">
      <alignment horizontal="left" vertical="top" wrapText="1"/>
    </xf>
    <xf numFmtId="43" fontId="11" fillId="4" borderId="10" xfId="37" applyFont="1" applyFill="1" applyBorder="1" applyAlignment="1">
      <alignment horizontal="left" vertical="top" wrapText="1"/>
    </xf>
    <xf numFmtId="0" fontId="38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top" wrapText="1"/>
    </xf>
    <xf numFmtId="0" fontId="45" fillId="4" borderId="10" xfId="0" applyFont="1" applyFill="1" applyBorder="1" applyAlignment="1">
      <alignment vertical="top"/>
    </xf>
    <xf numFmtId="0" fontId="11" fillId="4" borderId="10" xfId="0" applyFont="1" applyFill="1" applyBorder="1" applyAlignment="1">
      <alignment horizontal="center" vertical="center" wrapText="1"/>
    </xf>
    <xf numFmtId="43" fontId="11" fillId="4" borderId="10" xfId="37" applyFont="1" applyFill="1" applyBorder="1" applyAlignment="1">
      <alignment horizontal="right" vertical="top" wrapText="1"/>
    </xf>
    <xf numFmtId="43" fontId="11" fillId="4" borderId="6" xfId="37" applyFont="1" applyFill="1" applyBorder="1" applyAlignment="1">
      <alignment horizontal="right" vertical="top" wrapText="1"/>
    </xf>
    <xf numFmtId="0" fontId="45" fillId="4" borderId="0" xfId="0" applyFont="1" applyFill="1" applyAlignment="1">
      <alignment horizontal="justify" vertical="top"/>
    </xf>
    <xf numFmtId="0" fontId="11" fillId="4" borderId="6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top" wrapText="1"/>
    </xf>
    <xf numFmtId="41" fontId="11" fillId="4" borderId="0" xfId="0" applyNumberFormat="1" applyFont="1" applyFill="1" applyAlignment="1">
      <alignment vertical="top" wrapText="1"/>
    </xf>
    <xf numFmtId="0" fontId="11" fillId="4" borderId="0" xfId="0" applyFont="1" applyFill="1" applyAlignment="1">
      <alignment horizontal="left" vertical="top" wrapText="1"/>
    </xf>
    <xf numFmtId="0" fontId="41" fillId="4" borderId="10" xfId="0" applyFont="1" applyFill="1" applyBorder="1" applyAlignment="1">
      <alignment horizontal="center" vertical="top" wrapText="1"/>
    </xf>
    <xf numFmtId="0" fontId="19" fillId="4" borderId="0" xfId="29" applyFont="1" applyFill="1" applyAlignment="1">
      <alignment vertical="top" wrapText="1"/>
    </xf>
    <xf numFmtId="43" fontId="19" fillId="4" borderId="0" xfId="29" applyNumberFormat="1" applyFont="1" applyFill="1" applyAlignment="1">
      <alignment vertical="top" wrapText="1"/>
    </xf>
    <xf numFmtId="0" fontId="19" fillId="4" borderId="0" xfId="0" applyFont="1" applyFill="1" applyAlignment="1">
      <alignment vertical="top" wrapText="1"/>
    </xf>
    <xf numFmtId="41" fontId="19" fillId="4" borderId="0" xfId="0" applyNumberFormat="1" applyFont="1" applyFill="1" applyAlignment="1">
      <alignment vertical="top" wrapText="1"/>
    </xf>
    <xf numFmtId="43" fontId="19" fillId="4" borderId="0" xfId="37" applyFont="1" applyFill="1" applyAlignment="1">
      <alignment vertical="top" wrapText="1"/>
    </xf>
    <xf numFmtId="43" fontId="19" fillId="4" borderId="0" xfId="0" applyNumberFormat="1" applyFont="1" applyFill="1" applyAlignment="1">
      <alignment vertical="top" wrapText="1"/>
    </xf>
    <xf numFmtId="0" fontId="10" fillId="4" borderId="5" xfId="1" applyFont="1" applyFill="1" applyBorder="1" applyAlignment="1">
      <alignment horizontal="left" vertical="top"/>
    </xf>
    <xf numFmtId="15" fontId="11" fillId="4" borderId="0" xfId="1" applyNumberFormat="1" applyFont="1" applyFill="1" applyAlignment="1">
      <alignment horizontal="center" vertical="top"/>
    </xf>
    <xf numFmtId="0" fontId="41" fillId="0" borderId="10" xfId="0" applyFont="1" applyBorder="1" applyAlignment="1">
      <alignment horizontal="center" vertical="top" wrapText="1"/>
    </xf>
    <xf numFmtId="0" fontId="10" fillId="3" borderId="12" xfId="1" applyFont="1" applyFill="1" applyBorder="1" applyAlignment="1">
      <alignment horizontal="center" vertical="top"/>
    </xf>
    <xf numFmtId="0" fontId="10" fillId="3" borderId="5" xfId="1" applyFont="1" applyFill="1" applyBorder="1" applyAlignment="1">
      <alignment horizontal="center" vertical="top"/>
    </xf>
    <xf numFmtId="41" fontId="10" fillId="3" borderId="10" xfId="1" applyNumberFormat="1" applyFont="1" applyFill="1" applyBorder="1" applyAlignment="1">
      <alignment horizontal="center" vertical="top"/>
    </xf>
    <xf numFmtId="43" fontId="10" fillId="3" borderId="10" xfId="37" applyFont="1" applyFill="1" applyBorder="1" applyAlignment="1">
      <alignment horizontal="center" vertical="top"/>
    </xf>
    <xf numFmtId="41" fontId="14" fillId="3" borderId="10" xfId="1" applyNumberFormat="1" applyFont="1" applyFill="1" applyBorder="1" applyAlignment="1">
      <alignment horizontal="center" vertical="center" wrapText="1"/>
    </xf>
    <xf numFmtId="43" fontId="47" fillId="4" borderId="12" xfId="37" applyFont="1" applyFill="1" applyBorder="1" applyAlignment="1">
      <alignment vertical="top"/>
    </xf>
    <xf numFmtId="188" fontId="11" fillId="4" borderId="10" xfId="37" applyNumberFormat="1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41" fontId="11" fillId="4" borderId="10" xfId="0" applyNumberFormat="1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9" fillId="4" borderId="0" xfId="29" applyFont="1" applyFill="1" applyBorder="1" applyAlignment="1">
      <alignment vertical="top" wrapText="1"/>
    </xf>
    <xf numFmtId="41" fontId="10" fillId="4" borderId="0" xfId="29" applyNumberFormat="1" applyFont="1" applyFill="1" applyAlignment="1">
      <alignment horizontal="center" vertical="top" wrapText="1"/>
    </xf>
    <xf numFmtId="2" fontId="10" fillId="4" borderId="0" xfId="29" applyNumberFormat="1" applyFont="1" applyFill="1" applyAlignment="1">
      <alignment horizontal="center" vertical="top" wrapText="1"/>
    </xf>
    <xf numFmtId="41" fontId="11" fillId="4" borderId="0" xfId="29" applyNumberFormat="1" applyFont="1" applyFill="1" applyAlignment="1">
      <alignment vertical="top" wrapText="1"/>
    </xf>
    <xf numFmtId="0" fontId="38" fillId="0" borderId="10" xfId="0" applyFont="1" applyBorder="1" applyAlignment="1">
      <alignment vertical="top" wrapText="1"/>
    </xf>
    <xf numFmtId="43" fontId="38" fillId="2" borderId="10" xfId="0" applyNumberFormat="1" applyFont="1" applyFill="1" applyBorder="1" applyAlignment="1">
      <alignment vertical="top"/>
    </xf>
    <xf numFmtId="43" fontId="38" fillId="0" borderId="7" xfId="37" applyFont="1" applyFill="1" applyBorder="1" applyAlignment="1">
      <alignment vertical="top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/>
    </xf>
    <xf numFmtId="41" fontId="11" fillId="4" borderId="10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top" wrapText="1"/>
    </xf>
    <xf numFmtId="0" fontId="10" fillId="4" borderId="12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189" fontId="10" fillId="4" borderId="10" xfId="0" applyNumberFormat="1" applyFont="1" applyFill="1" applyBorder="1" applyAlignment="1">
      <alignment vertical="top" wrapText="1"/>
    </xf>
    <xf numFmtId="189" fontId="10" fillId="4" borderId="7" xfId="0" applyNumberFormat="1" applyFont="1" applyFill="1" applyBorder="1" applyAlignment="1">
      <alignment horizontal="right" vertical="top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top" wrapText="1"/>
    </xf>
    <xf numFmtId="2" fontId="10" fillId="4" borderId="10" xfId="0" applyNumberFormat="1" applyFont="1" applyFill="1" applyBorder="1" applyAlignment="1">
      <alignment vertical="top" wrapText="1"/>
    </xf>
    <xf numFmtId="0" fontId="10" fillId="4" borderId="5" xfId="29" applyFont="1" applyFill="1" applyBorder="1" applyAlignment="1">
      <alignment horizontal="left" vertical="top" wrapText="1"/>
    </xf>
    <xf numFmtId="0" fontId="10" fillId="4" borderId="6" xfId="29" applyFont="1" applyFill="1" applyBorder="1" applyAlignment="1">
      <alignment horizontal="left" vertical="top" wrapText="1"/>
    </xf>
    <xf numFmtId="0" fontId="10" fillId="4" borderId="10" xfId="29" applyFont="1" applyFill="1" applyBorder="1" applyAlignment="1">
      <alignment horizontal="center" vertical="top" wrapText="1"/>
    </xf>
    <xf numFmtId="0" fontId="11" fillId="4" borderId="5" xfId="29" applyFont="1" applyFill="1" applyBorder="1" applyAlignment="1">
      <alignment horizontal="left" vertical="top" wrapText="1"/>
    </xf>
    <xf numFmtId="0" fontId="11" fillId="4" borderId="6" xfId="29" applyFont="1" applyFill="1" applyBorder="1" applyAlignment="1">
      <alignment horizontal="left" vertical="top" wrapText="1"/>
    </xf>
    <xf numFmtId="0" fontId="10" fillId="4" borderId="12" xfId="29" applyFont="1" applyFill="1" applyBorder="1" applyAlignment="1">
      <alignment horizontal="left" vertical="top" wrapText="1"/>
    </xf>
    <xf numFmtId="0" fontId="10" fillId="4" borderId="10" xfId="29" applyFont="1" applyFill="1" applyBorder="1" applyAlignment="1">
      <alignment horizontal="left" vertical="top" wrapText="1"/>
    </xf>
    <xf numFmtId="0" fontId="10" fillId="4" borderId="0" xfId="29" applyFont="1" applyFill="1" applyBorder="1" applyAlignment="1">
      <alignment horizontal="left" vertical="top" wrapText="1"/>
    </xf>
    <xf numFmtId="0" fontId="10" fillId="4" borderId="14" xfId="29" applyFont="1" applyFill="1" applyBorder="1" applyAlignment="1">
      <alignment horizontal="left" vertical="top" wrapText="1"/>
    </xf>
    <xf numFmtId="0" fontId="10" fillId="4" borderId="13" xfId="29" applyFont="1" applyFill="1" applyBorder="1" applyAlignment="1">
      <alignment horizontal="left" vertical="top" wrapText="1"/>
    </xf>
    <xf numFmtId="0" fontId="10" fillId="4" borderId="0" xfId="29" applyFont="1" applyFill="1" applyBorder="1" applyAlignment="1">
      <alignment horizontal="left" vertical="top"/>
    </xf>
    <xf numFmtId="0" fontId="10" fillId="4" borderId="8" xfId="29" applyFont="1" applyFill="1" applyBorder="1" applyAlignment="1">
      <alignment horizontal="left" vertical="top" wrapText="1"/>
    </xf>
    <xf numFmtId="0" fontId="10" fillId="4" borderId="9" xfId="29" applyFont="1" applyFill="1" applyBorder="1" applyAlignment="1">
      <alignment horizontal="left" vertical="top" wrapText="1"/>
    </xf>
    <xf numFmtId="0" fontId="10" fillId="4" borderId="0" xfId="29" applyFont="1" applyFill="1" applyAlignment="1">
      <alignment horizontal="center" vertical="top"/>
    </xf>
    <xf numFmtId="1" fontId="10" fillId="4" borderId="22" xfId="29" applyNumberFormat="1" applyFont="1" applyFill="1" applyBorder="1" applyAlignment="1">
      <alignment horizontal="center" vertical="center" wrapText="1"/>
    </xf>
    <xf numFmtId="1" fontId="10" fillId="4" borderId="23" xfId="29" applyNumberFormat="1" applyFont="1" applyFill="1" applyBorder="1" applyAlignment="1">
      <alignment horizontal="center" vertical="center" wrapText="1"/>
    </xf>
    <xf numFmtId="0" fontId="10" fillId="4" borderId="22" xfId="29" applyFont="1" applyFill="1" applyBorder="1" applyAlignment="1">
      <alignment horizontal="center" vertical="center" wrapText="1"/>
    </xf>
    <xf numFmtId="0" fontId="10" fillId="4" borderId="24" xfId="29" applyFont="1" applyFill="1" applyBorder="1" applyAlignment="1">
      <alignment horizontal="center" vertical="center" wrapText="1"/>
    </xf>
    <xf numFmtId="0" fontId="10" fillId="4" borderId="23" xfId="29" applyFont="1" applyFill="1" applyBorder="1" applyAlignment="1">
      <alignment horizontal="center" vertical="center" wrapText="1"/>
    </xf>
    <xf numFmtId="0" fontId="10" fillId="4" borderId="25" xfId="29" applyFont="1" applyFill="1" applyBorder="1" applyAlignment="1">
      <alignment horizontal="center" vertical="center" wrapText="1"/>
    </xf>
    <xf numFmtId="0" fontId="10" fillId="4" borderId="4" xfId="29" applyFont="1" applyFill="1" applyBorder="1" applyAlignment="1">
      <alignment horizontal="center" vertical="center" wrapText="1"/>
    </xf>
    <xf numFmtId="0" fontId="10" fillId="4" borderId="9" xfId="29" applyFont="1" applyFill="1" applyBorder="1" applyAlignment="1">
      <alignment horizontal="center" vertical="center" wrapText="1"/>
    </xf>
    <xf numFmtId="41" fontId="10" fillId="4" borderId="10" xfId="0" applyNumberFormat="1" applyFont="1" applyFill="1" applyBorder="1" applyAlignment="1">
      <alignment horizontal="center" vertical="center" wrapText="1"/>
    </xf>
    <xf numFmtId="41" fontId="10" fillId="4" borderId="10" xfId="29" applyNumberFormat="1" applyFont="1" applyFill="1" applyBorder="1" applyAlignment="1">
      <alignment horizontal="center" vertical="center" wrapText="1"/>
    </xf>
    <xf numFmtId="0" fontId="10" fillId="4" borderId="0" xfId="29" applyFont="1" applyFill="1" applyBorder="1" applyAlignment="1">
      <alignment horizontal="center" vertical="top" wrapText="1"/>
    </xf>
    <xf numFmtId="41" fontId="10" fillId="4" borderId="7" xfId="0" applyNumberFormat="1" applyFont="1" applyFill="1" applyBorder="1" applyAlignment="1">
      <alignment horizontal="center" vertical="center" wrapText="1"/>
    </xf>
    <xf numFmtId="41" fontId="10" fillId="4" borderId="11" xfId="0" applyNumberFormat="1" applyFont="1" applyFill="1" applyBorder="1" applyAlignment="1">
      <alignment horizontal="center" vertical="center" wrapText="1"/>
    </xf>
    <xf numFmtId="0" fontId="10" fillId="4" borderId="1" xfId="29" applyFont="1" applyFill="1" applyBorder="1" applyAlignment="1">
      <alignment horizontal="center" vertical="top" wrapText="1"/>
    </xf>
    <xf numFmtId="0" fontId="10" fillId="4" borderId="8" xfId="29" applyFont="1" applyFill="1" applyBorder="1" applyAlignment="1">
      <alignment horizontal="center" vertical="top" wrapText="1"/>
    </xf>
    <xf numFmtId="0" fontId="10" fillId="4" borderId="9" xfId="29" applyFont="1" applyFill="1" applyBorder="1" applyAlignment="1">
      <alignment horizontal="center" vertical="top" wrapText="1"/>
    </xf>
    <xf numFmtId="1" fontId="10" fillId="4" borderId="12" xfId="29" applyNumberFormat="1" applyFont="1" applyFill="1" applyBorder="1" applyAlignment="1">
      <alignment horizontal="left" vertical="top" wrapText="1"/>
    </xf>
    <xf numFmtId="1" fontId="10" fillId="4" borderId="5" xfId="29" applyNumberFormat="1" applyFont="1" applyFill="1" applyBorder="1" applyAlignment="1">
      <alignment horizontal="left" vertical="top" wrapText="1"/>
    </xf>
    <xf numFmtId="1" fontId="10" fillId="4" borderId="6" xfId="29" applyNumberFormat="1" applyFont="1" applyFill="1" applyBorder="1" applyAlignment="1">
      <alignment horizontal="left" vertical="top" wrapText="1"/>
    </xf>
    <xf numFmtId="0" fontId="11" fillId="4" borderId="1" xfId="29" applyFont="1" applyFill="1" applyBorder="1" applyAlignment="1">
      <alignment horizontal="left" vertical="top" wrapText="1"/>
    </xf>
    <xf numFmtId="0" fontId="11" fillId="4" borderId="9" xfId="29" applyFont="1" applyFill="1" applyBorder="1" applyAlignment="1">
      <alignment horizontal="left" vertical="top" wrapText="1"/>
    </xf>
    <xf numFmtId="0" fontId="10" fillId="4" borderId="1" xfId="29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43" fontId="11" fillId="4" borderId="10" xfId="37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1" fontId="11" fillId="4" borderId="10" xfId="0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center" wrapText="1"/>
    </xf>
    <xf numFmtId="41" fontId="28" fillId="4" borderId="7" xfId="3" applyNumberFormat="1" applyFont="1" applyFill="1" applyBorder="1" applyAlignment="1">
      <alignment horizontal="center" vertical="center" wrapText="1"/>
    </xf>
    <xf numFmtId="41" fontId="28" fillId="4" borderId="11" xfId="3" applyNumberFormat="1" applyFont="1" applyFill="1" applyBorder="1" applyAlignment="1">
      <alignment horizontal="center" vertical="center" wrapText="1"/>
    </xf>
    <xf numFmtId="41" fontId="34" fillId="4" borderId="7" xfId="0" applyNumberFormat="1" applyFont="1" applyFill="1" applyBorder="1" applyAlignment="1">
      <alignment horizontal="center" vertical="center" wrapText="1"/>
    </xf>
    <xf numFmtId="41" fontId="34" fillId="4" borderId="11" xfId="0" applyNumberFormat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6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9" xfId="1" applyFont="1" applyFill="1" applyBorder="1" applyAlignment="1">
      <alignment horizontal="left" vertical="top" wrapText="1"/>
    </xf>
    <xf numFmtId="41" fontId="17" fillId="4" borderId="1" xfId="1" applyNumberFormat="1" applyFont="1" applyFill="1" applyBorder="1" applyAlignment="1">
      <alignment horizontal="center" vertical="top"/>
    </xf>
    <xf numFmtId="0" fontId="10" fillId="4" borderId="0" xfId="1" applyFont="1" applyFill="1" applyAlignment="1">
      <alignment horizontal="center" vertical="top"/>
    </xf>
    <xf numFmtId="0" fontId="10" fillId="4" borderId="3" xfId="1" applyFont="1" applyFill="1" applyBorder="1" applyAlignment="1">
      <alignment horizontal="left" vertical="top" wrapText="1"/>
    </xf>
    <xf numFmtId="0" fontId="10" fillId="4" borderId="4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/>
    </xf>
    <xf numFmtId="0" fontId="10" fillId="4" borderId="6" xfId="1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top" wrapText="1"/>
    </xf>
    <xf numFmtId="0" fontId="13" fillId="4" borderId="5" xfId="1" applyFont="1" applyFill="1" applyBorder="1" applyAlignment="1">
      <alignment horizontal="center" vertical="top" wrapText="1"/>
    </xf>
    <xf numFmtId="0" fontId="13" fillId="4" borderId="6" xfId="1" applyFont="1" applyFill="1" applyBorder="1" applyAlignment="1">
      <alignment horizontal="center" vertical="top" wrapText="1"/>
    </xf>
    <xf numFmtId="0" fontId="10" fillId="4" borderId="0" xfId="1" applyFont="1" applyFill="1" applyBorder="1" applyAlignment="1">
      <alignment horizontal="left" vertical="top" wrapText="1"/>
    </xf>
    <xf numFmtId="0" fontId="10" fillId="4" borderId="14" xfId="1" applyFont="1" applyFill="1" applyBorder="1" applyAlignment="1">
      <alignment horizontal="left" vertical="top" wrapText="1"/>
    </xf>
    <xf numFmtId="0" fontId="10" fillId="4" borderId="12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top"/>
    </xf>
    <xf numFmtId="0" fontId="10" fillId="4" borderId="8" xfId="1" applyFont="1" applyFill="1" applyBorder="1" applyAlignment="1">
      <alignment horizontal="left" vertical="top" wrapText="1"/>
    </xf>
    <xf numFmtId="41" fontId="10" fillId="4" borderId="2" xfId="0" applyNumberFormat="1" applyFont="1" applyFill="1" applyBorder="1" applyAlignment="1">
      <alignment horizontal="center" vertical="center" wrapText="1"/>
    </xf>
    <xf numFmtId="41" fontId="10" fillId="4" borderId="3" xfId="0" applyNumberFormat="1" applyFont="1" applyFill="1" applyBorder="1" applyAlignment="1">
      <alignment horizontal="center" vertical="center" wrapText="1"/>
    </xf>
    <xf numFmtId="41" fontId="10" fillId="4" borderId="4" xfId="0" applyNumberFormat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left" vertical="top" wrapText="1"/>
    </xf>
    <xf numFmtId="0" fontId="13" fillId="4" borderId="5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left" vertical="top" wrapText="1"/>
    </xf>
    <xf numFmtId="0" fontId="10" fillId="4" borderId="11" xfId="1" applyFont="1" applyFill="1" applyBorder="1" applyAlignment="1">
      <alignment horizontal="left" vertical="top" wrapText="1"/>
    </xf>
    <xf numFmtId="0" fontId="10" fillId="4" borderId="12" xfId="1" applyFont="1" applyFill="1" applyBorder="1" applyAlignment="1">
      <alignment horizontal="left" vertical="top"/>
    </xf>
    <xf numFmtId="41" fontId="3" fillId="4" borderId="1" xfId="1" applyNumberFormat="1" applyFont="1" applyFill="1" applyBorder="1" applyAlignment="1">
      <alignment horizontal="right" vertical="center"/>
    </xf>
    <xf numFmtId="0" fontId="18" fillId="4" borderId="13" xfId="1" applyFont="1" applyFill="1" applyBorder="1" applyAlignment="1">
      <alignment horizontal="center" vertical="top" wrapText="1"/>
    </xf>
    <xf numFmtId="0" fontId="18" fillId="4" borderId="0" xfId="1" applyFont="1" applyFill="1" applyBorder="1" applyAlignment="1">
      <alignment horizontal="center" vertical="top" wrapText="1"/>
    </xf>
    <xf numFmtId="41" fontId="10" fillId="4" borderId="8" xfId="0" applyNumberFormat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top" wrapText="1"/>
    </xf>
    <xf numFmtId="0" fontId="10" fillId="3" borderId="6" xfId="1" applyFont="1" applyFill="1" applyBorder="1" applyAlignment="1">
      <alignment horizontal="left" vertical="top" wrapText="1"/>
    </xf>
    <xf numFmtId="0" fontId="13" fillId="4" borderId="10" xfId="1" applyFont="1" applyFill="1" applyBorder="1" applyAlignment="1">
      <alignment horizontal="left" vertical="top" wrapText="1"/>
    </xf>
    <xf numFmtId="0" fontId="20" fillId="0" borderId="0" xfId="16" applyFont="1" applyAlignment="1">
      <alignment horizontal="center" vertical="center" wrapText="1"/>
    </xf>
    <xf numFmtId="0" fontId="20" fillId="0" borderId="0" xfId="16" applyFont="1" applyAlignment="1">
      <alignment horizontal="center" vertical="center"/>
    </xf>
    <xf numFmtId="0" fontId="10" fillId="5" borderId="10" xfId="16" applyFont="1" applyFill="1" applyBorder="1" applyAlignment="1">
      <alignment horizontal="center" vertical="center" wrapText="1"/>
    </xf>
    <xf numFmtId="0" fontId="23" fillId="4" borderId="5" xfId="1" applyFont="1" applyFill="1" applyBorder="1" applyAlignment="1">
      <alignment horizontal="left" vertical="top" wrapText="1"/>
    </xf>
    <xf numFmtId="0" fontId="23" fillId="4" borderId="6" xfId="1" applyFont="1" applyFill="1" applyBorder="1" applyAlignment="1">
      <alignment horizontal="left" vertical="top" wrapText="1"/>
    </xf>
    <xf numFmtId="0" fontId="22" fillId="4" borderId="5" xfId="1" applyFont="1" applyFill="1" applyBorder="1" applyAlignment="1">
      <alignment horizontal="left" vertical="top" wrapText="1"/>
    </xf>
    <xf numFmtId="0" fontId="22" fillId="4" borderId="6" xfId="1" applyFont="1" applyFill="1" applyBorder="1" applyAlignment="1">
      <alignment horizontal="left" vertical="top" wrapText="1"/>
    </xf>
    <xf numFmtId="0" fontId="23" fillId="4" borderId="10" xfId="1" applyFont="1" applyFill="1" applyBorder="1" applyAlignment="1">
      <alignment horizontal="center" vertical="top"/>
    </xf>
    <xf numFmtId="41" fontId="23" fillId="4" borderId="1" xfId="1" applyNumberFormat="1" applyFont="1" applyFill="1" applyBorder="1" applyAlignment="1">
      <alignment horizontal="left" vertical="top"/>
    </xf>
    <xf numFmtId="0" fontId="23" fillId="4" borderId="12" xfId="1" applyFont="1" applyFill="1" applyBorder="1" applyAlignment="1">
      <alignment horizontal="left" vertical="top" wrapText="1"/>
    </xf>
    <xf numFmtId="0" fontId="23" fillId="4" borderId="10" xfId="1" applyFont="1" applyFill="1" applyBorder="1" applyAlignment="1">
      <alignment horizontal="left" vertical="top" wrapText="1"/>
    </xf>
    <xf numFmtId="0" fontId="23" fillId="4" borderId="1" xfId="1" applyFont="1" applyFill="1" applyBorder="1" applyAlignment="1">
      <alignment horizontal="left" vertical="top" wrapText="1"/>
    </xf>
    <xf numFmtId="0" fontId="23" fillId="4" borderId="9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 wrapText="1"/>
    </xf>
    <xf numFmtId="0" fontId="23" fillId="4" borderId="3" xfId="1" applyFont="1" applyFill="1" applyBorder="1" applyAlignment="1">
      <alignment horizontal="left" vertical="top" wrapText="1"/>
    </xf>
    <xf numFmtId="0" fontId="23" fillId="4" borderId="4" xfId="1" applyFont="1" applyFill="1" applyBorder="1" applyAlignment="1">
      <alignment horizontal="left" vertical="top" wrapText="1"/>
    </xf>
    <xf numFmtId="0" fontId="26" fillId="4" borderId="0" xfId="1" applyFont="1" applyFill="1" applyAlignment="1">
      <alignment horizontal="center" vertical="top"/>
    </xf>
    <xf numFmtId="0" fontId="23" fillId="4" borderId="10" xfId="1" applyFont="1" applyFill="1" applyBorder="1" applyAlignment="1">
      <alignment horizontal="center" vertical="center" wrapText="1"/>
    </xf>
    <xf numFmtId="41" fontId="37" fillId="0" borderId="0" xfId="0" applyNumberFormat="1" applyFont="1" applyAlignment="1">
      <alignment horizontal="left"/>
    </xf>
    <xf numFmtId="41" fontId="38" fillId="0" borderId="0" xfId="0" applyNumberFormat="1" applyFont="1" applyAlignment="1">
      <alignment horizontal="left"/>
    </xf>
    <xf numFmtId="41" fontId="37" fillId="0" borderId="0" xfId="0" applyNumberFormat="1" applyFont="1" applyAlignment="1">
      <alignment horizontal="center" vertical="center" wrapText="1"/>
    </xf>
    <xf numFmtId="41" fontId="37" fillId="0" borderId="0" xfId="0" applyNumberFormat="1" applyFont="1" applyAlignment="1">
      <alignment horizontal="center" vertical="center"/>
    </xf>
    <xf numFmtId="41" fontId="37" fillId="0" borderId="7" xfId="0" applyNumberFormat="1" applyFont="1" applyBorder="1" applyAlignment="1">
      <alignment horizontal="center" vertical="top"/>
    </xf>
    <xf numFmtId="41" fontId="37" fillId="0" borderId="15" xfId="0" applyNumberFormat="1" applyFont="1" applyBorder="1" applyAlignment="1">
      <alignment horizontal="center" vertical="top"/>
    </xf>
    <xf numFmtId="41" fontId="37" fillId="8" borderId="12" xfId="0" applyNumberFormat="1" applyFont="1" applyFill="1" applyBorder="1" applyAlignment="1">
      <alignment horizontal="center"/>
    </xf>
    <xf numFmtId="41" fontId="37" fillId="8" borderId="6" xfId="0" applyNumberFormat="1" applyFont="1" applyFill="1" applyBorder="1" applyAlignment="1">
      <alignment horizontal="center"/>
    </xf>
    <xf numFmtId="41" fontId="17" fillId="4" borderId="1" xfId="1" applyNumberFormat="1" applyFont="1" applyFill="1" applyBorder="1" applyAlignment="1">
      <alignment horizontal="right" vertical="top"/>
    </xf>
    <xf numFmtId="0" fontId="37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10" fillId="4" borderId="1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</cellXfs>
  <cellStyles count="38">
    <cellStyle name="Comma" xfId="37" builtinId="3"/>
    <cellStyle name="Comma 2" xfId="5"/>
    <cellStyle name="Comma 2 2" xfId="6"/>
    <cellStyle name="Comma 2 3" xfId="7"/>
    <cellStyle name="Comma 3" xfId="8"/>
    <cellStyle name="Comma 3 2" xfId="9"/>
    <cellStyle name="Comma 3 3" xfId="10"/>
    <cellStyle name="Comma 3 3 2" xfId="11"/>
    <cellStyle name="Comma 4" xfId="12"/>
    <cellStyle name="Comma 5" xfId="13"/>
    <cellStyle name="Comma 6" xfId="14"/>
    <cellStyle name="Excel Built-in Normal" xfId="15"/>
    <cellStyle name="Normal" xfId="0" builtinId="0"/>
    <cellStyle name="Normal 2" xfId="16"/>
    <cellStyle name="Normal 3" xfId="17"/>
    <cellStyle name="Normal 3 2" xfId="18"/>
    <cellStyle name="Normal 3 3" xfId="19"/>
    <cellStyle name="Normal 4" xfId="20"/>
    <cellStyle name="Normal 4 2" xfId="21"/>
    <cellStyle name="Normal 4 2 2" xfId="22"/>
    <cellStyle name="Normal 5" xfId="23"/>
    <cellStyle name="เครื่องหมายจุลภาค 2" xfId="24"/>
    <cellStyle name="เครื่องหมายจุลภาค 3" xfId="25"/>
    <cellStyle name="เครื่องหมายจุลภาค 4" xfId="26"/>
    <cellStyle name="เครื่องหมายจุลภาค 4 2" xfId="4"/>
    <cellStyle name="เครื่องหมายจุลภาค 5" xfId="3"/>
    <cellStyle name="เครื่องหมายจุลภาค 5 2" xfId="27"/>
    <cellStyle name="เครื่องหมายจุลภาค 6" xfId="28"/>
    <cellStyle name="ปกติ 2" xfId="29"/>
    <cellStyle name="ปกติ 3" xfId="30"/>
    <cellStyle name="ปกติ 4" xfId="31"/>
    <cellStyle name="ปกติ 5" xfId="32"/>
    <cellStyle name="ปกติ 5 2" xfId="33"/>
    <cellStyle name="ปกติ 6" xfId="34"/>
    <cellStyle name="ปกติ 6 2" xfId="2"/>
    <cellStyle name="ปกติ 7" xfId="1"/>
    <cellStyle name="ปกติ 8" xfId="35"/>
    <cellStyle name="ปกติ 9" xfId="36"/>
  </cellStyles>
  <dxfs count="0"/>
  <tableStyles count="0" defaultTableStyle="TableStyleMedium9" defaultPivotStyle="PivotStyleLight16"/>
  <colors>
    <mruColors>
      <color rgb="FF00FF00"/>
      <color rgb="FFFF33CC"/>
      <color rgb="FF0000FF"/>
      <color rgb="FF6600FF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15</xdr:col>
      <xdr:colOff>293905</xdr:colOff>
      <xdr:row>2</xdr:row>
      <xdr:rowOff>254934</xdr:rowOff>
    </xdr:to>
    <xdr:sp macro="" textlink="">
      <xdr:nvSpPr>
        <xdr:cNvPr id="3" name="TextBox 2"/>
        <xdr:cNvSpPr txBox="1"/>
      </xdr:nvSpPr>
      <xdr:spPr>
        <a:xfrm>
          <a:off x="12023912" y="268941"/>
          <a:ext cx="1728258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</a:t>
          </a:r>
          <a:r>
            <a:rPr lang="en-US" sz="1100" baseline="0"/>
            <a:t>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916782</xdr:colOff>
      <xdr:row>1</xdr:row>
      <xdr:rowOff>23812</xdr:rowOff>
    </xdr:from>
    <xdr:to>
      <xdr:col>11</xdr:col>
      <xdr:colOff>573352</xdr:colOff>
      <xdr:row>3</xdr:row>
      <xdr:rowOff>23812</xdr:rowOff>
    </xdr:to>
    <xdr:sp macro="" textlink="">
      <xdr:nvSpPr>
        <xdr:cNvPr id="3" name="TextBox 2"/>
        <xdr:cNvSpPr txBox="1"/>
      </xdr:nvSpPr>
      <xdr:spPr>
        <a:xfrm>
          <a:off x="10679907" y="285750"/>
          <a:ext cx="1728258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</a:t>
          </a:r>
          <a:r>
            <a:rPr lang="en-US" sz="1100" baseline="0"/>
            <a:t>5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845344</xdr:colOff>
      <xdr:row>0</xdr:row>
      <xdr:rowOff>214313</xdr:rowOff>
    </xdr:from>
    <xdr:to>
      <xdr:col>15</xdr:col>
      <xdr:colOff>930539</xdr:colOff>
      <xdr:row>2</xdr:row>
      <xdr:rowOff>214313</xdr:rowOff>
    </xdr:to>
    <xdr:sp macro="" textlink="">
      <xdr:nvSpPr>
        <xdr:cNvPr id="2" name="TextBox 1"/>
        <xdr:cNvSpPr txBox="1"/>
      </xdr:nvSpPr>
      <xdr:spPr>
        <a:xfrm>
          <a:off x="13001625" y="214313"/>
          <a:ext cx="1728258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</xdr:row>
      <xdr:rowOff>76200</xdr:rowOff>
    </xdr:from>
    <xdr:to>
      <xdr:col>14</xdr:col>
      <xdr:colOff>1266825</xdr:colOff>
      <xdr:row>2</xdr:row>
      <xdr:rowOff>238125</xdr:rowOff>
    </xdr:to>
    <xdr:sp macro="" textlink="">
      <xdr:nvSpPr>
        <xdr:cNvPr id="2" name="TextBox 1"/>
        <xdr:cNvSpPr txBox="1"/>
      </xdr:nvSpPr>
      <xdr:spPr>
        <a:xfrm>
          <a:off x="8467725" y="342900"/>
          <a:ext cx="15049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เอกสารหมายเลข</a:t>
          </a:r>
          <a:r>
            <a:rPr lang="th-TH" sz="1800" b="0" baseline="0">
              <a:solidFill>
                <a:schemeClr val="bg1"/>
              </a:solidFill>
              <a:latin typeface="TH SarabunPSK" pitchFamily="34" charset="-34"/>
              <a:cs typeface="TH SarabunPSK" pitchFamily="34" charset="-34"/>
            </a:rPr>
            <a:t> 5</a:t>
          </a:r>
          <a:endParaRPr lang="th-TH" sz="1800" b="0">
            <a:solidFill>
              <a:schemeClr val="bg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R44"/>
  <sheetViews>
    <sheetView view="pageBreakPreview" zoomScale="85" zoomScaleNormal="90" zoomScaleSheetLayoutView="85" workbookViewId="0">
      <selection activeCell="M4" sqref="M4:P4"/>
    </sheetView>
  </sheetViews>
  <sheetFormatPr defaultColWidth="8" defaultRowHeight="21" x14ac:dyDescent="0.2"/>
  <cols>
    <col min="1" max="1" width="3.125" style="504" customWidth="1"/>
    <col min="2" max="2" width="2.75" style="472" customWidth="1"/>
    <col min="3" max="3" width="29.75" style="472" customWidth="1"/>
    <col min="4" max="4" width="13.5" style="472" customWidth="1"/>
    <col min="5" max="5" width="14.875" style="472" customWidth="1"/>
    <col min="6" max="6" width="13.875" style="472" customWidth="1"/>
    <col min="7" max="7" width="8.625" style="472" customWidth="1"/>
    <col min="8" max="8" width="10.375" style="472" customWidth="1"/>
    <col min="9" max="9" width="9" style="472" customWidth="1"/>
    <col min="10" max="10" width="14" style="472" bestFit="1" customWidth="1"/>
    <col min="11" max="11" width="12.75" style="472" bestFit="1" customWidth="1"/>
    <col min="12" max="12" width="14" style="472" bestFit="1" customWidth="1"/>
    <col min="13" max="13" width="13.5" style="472" customWidth="1"/>
    <col min="14" max="14" width="7.5" style="472" customWidth="1"/>
    <col min="15" max="15" width="11.375" style="472" customWidth="1"/>
    <col min="16" max="16" width="10.25" style="505" customWidth="1"/>
    <col min="17" max="17" width="11.25" style="472" bestFit="1" customWidth="1"/>
    <col min="18" max="18" width="11.75" style="472" bestFit="1" customWidth="1"/>
    <col min="19" max="16384" width="8" style="472"/>
  </cols>
  <sheetData>
    <row r="1" spans="1:18" s="465" customFormat="1" x14ac:dyDescent="0.2">
      <c r="A1" s="622" t="s">
        <v>172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</row>
    <row r="2" spans="1:18" s="465" customFormat="1" ht="21" customHeight="1" x14ac:dyDescent="0.2">
      <c r="A2" s="501" t="s">
        <v>171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</row>
    <row r="3" spans="1:18" s="465" customFormat="1" x14ac:dyDescent="0.2">
      <c r="A3" s="633" t="s">
        <v>270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</row>
    <row r="4" spans="1:18" s="465" customFormat="1" ht="21" customHeight="1" x14ac:dyDescent="0.2">
      <c r="A4" s="587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636" t="s">
        <v>638</v>
      </c>
      <c r="N4" s="636"/>
      <c r="O4" s="636"/>
      <c r="P4" s="636"/>
    </row>
    <row r="5" spans="1:18" s="466" customFormat="1" ht="23.25" customHeight="1" x14ac:dyDescent="0.2">
      <c r="A5" s="623" t="s">
        <v>89</v>
      </c>
      <c r="B5" s="625" t="s">
        <v>103</v>
      </c>
      <c r="C5" s="626"/>
      <c r="D5" s="632" t="s">
        <v>1</v>
      </c>
      <c r="E5" s="632"/>
      <c r="F5" s="632"/>
      <c r="G5" s="631" t="s">
        <v>183</v>
      </c>
      <c r="H5" s="631"/>
      <c r="I5" s="631"/>
      <c r="J5" s="631"/>
      <c r="K5" s="631"/>
      <c r="L5" s="631" t="s">
        <v>184</v>
      </c>
      <c r="M5" s="631"/>
      <c r="N5" s="631"/>
      <c r="O5" s="634" t="s">
        <v>468</v>
      </c>
      <c r="P5" s="629" t="s">
        <v>2</v>
      </c>
    </row>
    <row r="6" spans="1:18" s="466" customFormat="1" ht="61.5" customHeight="1" x14ac:dyDescent="0.2">
      <c r="A6" s="624"/>
      <c r="B6" s="627"/>
      <c r="C6" s="628"/>
      <c r="D6" s="464" t="s">
        <v>3</v>
      </c>
      <c r="E6" s="464" t="s">
        <v>5</v>
      </c>
      <c r="F6" s="464" t="s">
        <v>4</v>
      </c>
      <c r="G6" s="463" t="s">
        <v>179</v>
      </c>
      <c r="H6" s="463" t="s">
        <v>180</v>
      </c>
      <c r="I6" s="463" t="s">
        <v>252</v>
      </c>
      <c r="J6" s="463" t="s">
        <v>181</v>
      </c>
      <c r="K6" s="463" t="s">
        <v>182</v>
      </c>
      <c r="L6" s="463" t="s">
        <v>185</v>
      </c>
      <c r="M6" s="463" t="s">
        <v>186</v>
      </c>
      <c r="N6" s="463" t="s">
        <v>187</v>
      </c>
      <c r="O6" s="635"/>
      <c r="P6" s="630"/>
    </row>
    <row r="7" spans="1:18" s="468" customFormat="1" ht="30" customHeight="1" x14ac:dyDescent="0.2">
      <c r="A7" s="637" t="s">
        <v>83</v>
      </c>
      <c r="B7" s="636"/>
      <c r="C7" s="638"/>
      <c r="D7" s="310">
        <f>E7+F7</f>
        <v>30793615</v>
      </c>
      <c r="E7" s="310">
        <f>E8+E22+E31+E35+E37+E38+E39</f>
        <v>13074235</v>
      </c>
      <c r="F7" s="310">
        <f>F8+F22+F31+F35+F37+F38+F39</f>
        <v>17719380</v>
      </c>
      <c r="G7" s="310"/>
      <c r="H7" s="310"/>
      <c r="I7" s="310"/>
      <c r="J7" s="310">
        <f>J8+J22+J31+J35+J37+J38+J39</f>
        <v>17261380</v>
      </c>
      <c r="K7" s="310">
        <f>K8+K22+K31+K35+K37+K38+K39</f>
        <v>458000</v>
      </c>
      <c r="L7" s="310">
        <f>L8+L22+L31+L35+L37+L38+L39</f>
        <v>10472650</v>
      </c>
      <c r="M7" s="310">
        <f>M8+M22+M31+M35+M37+M38+M39</f>
        <v>19862965</v>
      </c>
      <c r="N7" s="310">
        <f>N40</f>
        <v>34.009160665287268</v>
      </c>
      <c r="O7" s="310">
        <f>O8+O22+O31</f>
        <v>0</v>
      </c>
      <c r="P7" s="467"/>
      <c r="Q7" s="468" t="s">
        <v>5</v>
      </c>
    </row>
    <row r="8" spans="1:18" s="468" customFormat="1" ht="46.5" hidden="1" customHeight="1" x14ac:dyDescent="0.2">
      <c r="A8" s="639" t="s">
        <v>104</v>
      </c>
      <c r="B8" s="640"/>
      <c r="C8" s="641"/>
      <c r="D8" s="469">
        <f>E8+F8</f>
        <v>0</v>
      </c>
      <c r="E8" s="469">
        <f>E9+E15</f>
        <v>0</v>
      </c>
      <c r="F8" s="469">
        <f>F9+F15</f>
        <v>0</v>
      </c>
      <c r="G8" s="469"/>
      <c r="H8" s="469"/>
      <c r="I8" s="469"/>
      <c r="J8" s="469">
        <f t="shared" ref="J8:O8" si="0">J9+J15</f>
        <v>0</v>
      </c>
      <c r="K8" s="469">
        <f t="shared" si="0"/>
        <v>0</v>
      </c>
      <c r="L8" s="469">
        <f t="shared" si="0"/>
        <v>0</v>
      </c>
      <c r="M8" s="469">
        <f t="shared" si="0"/>
        <v>0</v>
      </c>
      <c r="N8" s="469">
        <v>0</v>
      </c>
      <c r="O8" s="469">
        <f t="shared" si="0"/>
        <v>0</v>
      </c>
      <c r="P8" s="467"/>
      <c r="Q8" s="588">
        <f>L23+L28+L30+L39</f>
        <v>10472650</v>
      </c>
      <c r="R8" s="589">
        <f>Q8*100/E7</f>
        <v>80.101436145212318</v>
      </c>
    </row>
    <row r="9" spans="1:18" ht="66.75" hidden="1" customHeight="1" x14ac:dyDescent="0.2">
      <c r="A9" s="470">
        <v>1</v>
      </c>
      <c r="B9" s="614" t="s">
        <v>245</v>
      </c>
      <c r="C9" s="610"/>
      <c r="D9" s="73">
        <f>E9+F9</f>
        <v>0</v>
      </c>
      <c r="E9" s="73">
        <f>E10</f>
        <v>0</v>
      </c>
      <c r="F9" s="74">
        <f>F10</f>
        <v>0</v>
      </c>
      <c r="G9" s="229"/>
      <c r="H9" s="74"/>
      <c r="I9" s="74"/>
      <c r="J9" s="74">
        <f t="shared" ref="J9:O9" si="1">J10</f>
        <v>0</v>
      </c>
      <c r="K9" s="74">
        <f t="shared" si="1"/>
        <v>0</v>
      </c>
      <c r="L9" s="74">
        <f t="shared" si="1"/>
        <v>0</v>
      </c>
      <c r="M9" s="74">
        <f t="shared" si="1"/>
        <v>0</v>
      </c>
      <c r="N9" s="74" t="e">
        <f>L9*100/D9</f>
        <v>#DIV/0!</v>
      </c>
      <c r="O9" s="74">
        <f t="shared" si="1"/>
        <v>0</v>
      </c>
      <c r="P9" s="471" t="s">
        <v>105</v>
      </c>
    </row>
    <row r="10" spans="1:18" ht="112.5" hidden="1" x14ac:dyDescent="0.2">
      <c r="A10" s="72"/>
      <c r="B10" s="644" t="s">
        <v>251</v>
      </c>
      <c r="C10" s="644"/>
      <c r="D10" s="76">
        <f>E10+F10</f>
        <v>0</v>
      </c>
      <c r="E10" s="73">
        <f>E11</f>
        <v>0</v>
      </c>
      <c r="F10" s="74">
        <f>F12</f>
        <v>0</v>
      </c>
      <c r="G10" s="229" t="s">
        <v>461</v>
      </c>
      <c r="H10" s="74"/>
      <c r="I10" s="74"/>
      <c r="J10" s="74">
        <f>J12</f>
        <v>0</v>
      </c>
      <c r="K10" s="74">
        <f>K12</f>
        <v>0</v>
      </c>
      <c r="L10" s="74">
        <f>L12</f>
        <v>0</v>
      </c>
      <c r="M10" s="74">
        <v>0</v>
      </c>
      <c r="N10" s="74" t="e">
        <f>L10*100/D10</f>
        <v>#DIV/0!</v>
      </c>
      <c r="O10" s="74"/>
      <c r="P10" s="75"/>
    </row>
    <row r="11" spans="1:18" ht="21" hidden="1" customHeight="1" x14ac:dyDescent="0.2">
      <c r="A11" s="473"/>
      <c r="B11" s="642" t="s">
        <v>5</v>
      </c>
      <c r="C11" s="643"/>
      <c r="D11" s="474"/>
      <c r="E11" s="474">
        <f>164800-164800</f>
        <v>0</v>
      </c>
      <c r="F11" s="272"/>
      <c r="G11" s="272"/>
      <c r="H11" s="272"/>
      <c r="I11" s="272"/>
      <c r="J11" s="272"/>
      <c r="K11" s="272"/>
      <c r="L11" s="272"/>
      <c r="M11" s="272">
        <f>E11-L11</f>
        <v>0</v>
      </c>
      <c r="N11" s="272" t="e">
        <f>L11*100/E11</f>
        <v>#DIV/0!</v>
      </c>
      <c r="O11" s="272"/>
      <c r="P11" s="75"/>
    </row>
    <row r="12" spans="1:18" ht="28.5" hidden="1" customHeight="1" x14ac:dyDescent="0.2">
      <c r="A12" s="473"/>
      <c r="B12" s="612" t="s">
        <v>4</v>
      </c>
      <c r="C12" s="613"/>
      <c r="D12" s="474"/>
      <c r="E12" s="474"/>
      <c r="F12" s="272">
        <f>F13+F14</f>
        <v>0</v>
      </c>
      <c r="G12" s="272"/>
      <c r="H12" s="272"/>
      <c r="I12" s="272"/>
      <c r="J12" s="272">
        <f>J13+J14</f>
        <v>0</v>
      </c>
      <c r="K12" s="272">
        <f>K13+K14</f>
        <v>0</v>
      </c>
      <c r="L12" s="272">
        <f>L13+L14</f>
        <v>0</v>
      </c>
      <c r="M12" s="272">
        <f>M13+M14</f>
        <v>0</v>
      </c>
      <c r="N12" s="475" t="e">
        <f>L12*100/J12</f>
        <v>#DIV/0!</v>
      </c>
      <c r="O12" s="475"/>
      <c r="P12" s="75"/>
    </row>
    <row r="13" spans="1:18" ht="42" hidden="1" x14ac:dyDescent="0.2">
      <c r="A13" s="473"/>
      <c r="B13" s="476"/>
      <c r="C13" s="477" t="s">
        <v>246</v>
      </c>
      <c r="D13" s="474"/>
      <c r="E13" s="474"/>
      <c r="F13" s="272">
        <f>3792600-3792600</f>
        <v>0</v>
      </c>
      <c r="G13" s="272"/>
      <c r="H13" s="272"/>
      <c r="I13" s="272"/>
      <c r="J13" s="272"/>
      <c r="K13" s="272"/>
      <c r="L13" s="272"/>
      <c r="M13" s="272">
        <f>F13-L13</f>
        <v>0</v>
      </c>
      <c r="N13" s="475" t="e">
        <f>L13*100/J13</f>
        <v>#DIV/0!</v>
      </c>
      <c r="O13" s="475"/>
      <c r="P13" s="75"/>
    </row>
    <row r="14" spans="1:18" ht="42" hidden="1" x14ac:dyDescent="0.2">
      <c r="A14" s="473"/>
      <c r="B14" s="476"/>
      <c r="C14" s="477" t="s">
        <v>247</v>
      </c>
      <c r="D14" s="474"/>
      <c r="E14" s="474"/>
      <c r="F14" s="272">
        <f>2116800-2116800</f>
        <v>0</v>
      </c>
      <c r="G14" s="272"/>
      <c r="H14" s="272"/>
      <c r="I14" s="272"/>
      <c r="J14" s="272"/>
      <c r="K14" s="272"/>
      <c r="L14" s="272"/>
      <c r="M14" s="272">
        <f>F14-L14</f>
        <v>0</v>
      </c>
      <c r="N14" s="475" t="e">
        <f>L14*100/J14</f>
        <v>#DIV/0!</v>
      </c>
      <c r="O14" s="475"/>
      <c r="P14" s="75"/>
    </row>
    <row r="15" spans="1:18" ht="77.25" hidden="1" customHeight="1" x14ac:dyDescent="0.2">
      <c r="A15" s="470">
        <v>2</v>
      </c>
      <c r="B15" s="614" t="s">
        <v>106</v>
      </c>
      <c r="C15" s="610"/>
      <c r="D15" s="76">
        <f>E15+F15</f>
        <v>0</v>
      </c>
      <c r="E15" s="76">
        <f>E16</f>
        <v>0</v>
      </c>
      <c r="F15" s="76">
        <f>F16</f>
        <v>0</v>
      </c>
      <c r="G15" s="229" t="s">
        <v>376</v>
      </c>
      <c r="H15" s="76"/>
      <c r="I15" s="76"/>
      <c r="J15" s="76">
        <f>J16</f>
        <v>0</v>
      </c>
      <c r="K15" s="76">
        <f>K16</f>
        <v>0</v>
      </c>
      <c r="L15" s="76">
        <f>L16</f>
        <v>0</v>
      </c>
      <c r="M15" s="76">
        <v>0</v>
      </c>
      <c r="N15" s="76" t="e">
        <f>L15*100/D15</f>
        <v>#DIV/0!</v>
      </c>
      <c r="O15" s="76">
        <v>0</v>
      </c>
      <c r="P15" s="471" t="s">
        <v>105</v>
      </c>
    </row>
    <row r="16" spans="1:18" s="478" customFormat="1" ht="112.5" hidden="1" x14ac:dyDescent="0.2">
      <c r="A16" s="473"/>
      <c r="B16" s="609" t="s">
        <v>167</v>
      </c>
      <c r="C16" s="610"/>
      <c r="D16" s="76">
        <f>E16+F16</f>
        <v>0</v>
      </c>
      <c r="E16" s="76">
        <f>E17</f>
        <v>0</v>
      </c>
      <c r="F16" s="76">
        <f>F18</f>
        <v>0</v>
      </c>
      <c r="G16" s="229" t="s">
        <v>376</v>
      </c>
      <c r="H16" s="76"/>
      <c r="I16" s="76"/>
      <c r="J16" s="76">
        <f>J18</f>
        <v>0</v>
      </c>
      <c r="K16" s="76">
        <f>K18</f>
        <v>0</v>
      </c>
      <c r="L16" s="76">
        <f>L18</f>
        <v>0</v>
      </c>
      <c r="M16" s="76">
        <f>D16-L16</f>
        <v>0</v>
      </c>
      <c r="N16" s="76" t="e">
        <f>L16*100/D16</f>
        <v>#DIV/0!</v>
      </c>
      <c r="O16" s="76"/>
      <c r="P16" s="471"/>
    </row>
    <row r="17" spans="1:17" s="478" customFormat="1" hidden="1" x14ac:dyDescent="0.2">
      <c r="A17" s="473"/>
      <c r="B17" s="612" t="s">
        <v>5</v>
      </c>
      <c r="C17" s="613"/>
      <c r="D17" s="474"/>
      <c r="E17" s="474">
        <f>59900-59900</f>
        <v>0</v>
      </c>
      <c r="F17" s="474"/>
      <c r="G17" s="474"/>
      <c r="H17" s="474"/>
      <c r="I17" s="474"/>
      <c r="J17" s="474"/>
      <c r="K17" s="474"/>
      <c r="L17" s="474"/>
      <c r="M17" s="474">
        <f>E17-L17</f>
        <v>0</v>
      </c>
      <c r="N17" s="474" t="e">
        <f>L17*100/E17</f>
        <v>#DIV/0!</v>
      </c>
      <c r="O17" s="474"/>
      <c r="P17" s="75"/>
    </row>
    <row r="18" spans="1:17" s="478" customFormat="1" hidden="1" x14ac:dyDescent="0.2">
      <c r="A18" s="479"/>
      <c r="B18" s="612" t="s">
        <v>4</v>
      </c>
      <c r="C18" s="613"/>
      <c r="D18" s="474"/>
      <c r="E18" s="474"/>
      <c r="F18" s="474">
        <f>F19+F20+F21</f>
        <v>0</v>
      </c>
      <c r="G18" s="474"/>
      <c r="H18" s="474"/>
      <c r="I18" s="474"/>
      <c r="J18" s="474">
        <f>J19+J20+J21</f>
        <v>0</v>
      </c>
      <c r="K18" s="474">
        <f>K19+K20+K21</f>
        <v>0</v>
      </c>
      <c r="L18" s="474">
        <f>L19+L20+L21</f>
        <v>0</v>
      </c>
      <c r="M18" s="474">
        <f>M19+M20+M21</f>
        <v>0</v>
      </c>
      <c r="N18" s="480" t="e">
        <f>L18*100/J18</f>
        <v>#DIV/0!</v>
      </c>
      <c r="O18" s="480"/>
      <c r="P18" s="75"/>
    </row>
    <row r="19" spans="1:17" s="478" customFormat="1" ht="42" hidden="1" x14ac:dyDescent="0.2">
      <c r="A19" s="473"/>
      <c r="B19" s="481"/>
      <c r="C19" s="482" t="s">
        <v>248</v>
      </c>
      <c r="D19" s="474"/>
      <c r="E19" s="474"/>
      <c r="F19" s="474">
        <f>105000-105000</f>
        <v>0</v>
      </c>
      <c r="G19" s="474"/>
      <c r="H19" s="474"/>
      <c r="I19" s="474"/>
      <c r="J19" s="474"/>
      <c r="K19" s="474"/>
      <c r="L19" s="474"/>
      <c r="M19" s="474">
        <f>F19-L19</f>
        <v>0</v>
      </c>
      <c r="N19" s="480" t="e">
        <f>L19*100/J19</f>
        <v>#DIV/0!</v>
      </c>
      <c r="O19" s="480"/>
      <c r="P19" s="75"/>
    </row>
    <row r="20" spans="1:17" s="478" customFormat="1" ht="42" hidden="1" x14ac:dyDescent="0.2">
      <c r="A20" s="473"/>
      <c r="B20" s="481"/>
      <c r="C20" s="482" t="s">
        <v>249</v>
      </c>
      <c r="D20" s="474"/>
      <c r="E20" s="474"/>
      <c r="F20" s="474">
        <f>145000-145000</f>
        <v>0</v>
      </c>
      <c r="G20" s="474"/>
      <c r="H20" s="474"/>
      <c r="I20" s="474"/>
      <c r="J20" s="474"/>
      <c r="K20" s="474"/>
      <c r="L20" s="474"/>
      <c r="M20" s="474">
        <f>F20-L20</f>
        <v>0</v>
      </c>
      <c r="N20" s="480" t="e">
        <f>L20*100/J20</f>
        <v>#DIV/0!</v>
      </c>
      <c r="O20" s="480"/>
      <c r="P20" s="75"/>
    </row>
    <row r="21" spans="1:17" s="478" customFormat="1" hidden="1" x14ac:dyDescent="0.2">
      <c r="A21" s="473"/>
      <c r="B21" s="481"/>
      <c r="C21" s="482" t="s">
        <v>250</v>
      </c>
      <c r="D21" s="474"/>
      <c r="E21" s="474"/>
      <c r="F21" s="474">
        <f>673600-673600</f>
        <v>0</v>
      </c>
      <c r="G21" s="474"/>
      <c r="H21" s="474"/>
      <c r="I21" s="474"/>
      <c r="J21" s="474"/>
      <c r="K21" s="474"/>
      <c r="L21" s="474"/>
      <c r="M21" s="474">
        <f>F21-L21</f>
        <v>0</v>
      </c>
      <c r="N21" s="480" t="e">
        <f>L21*100/J21</f>
        <v>#DIV/0!</v>
      </c>
      <c r="O21" s="480"/>
      <c r="P21" s="75"/>
    </row>
    <row r="22" spans="1:17" ht="69.75" customHeight="1" x14ac:dyDescent="0.2">
      <c r="A22" s="618" t="s">
        <v>572</v>
      </c>
      <c r="B22" s="619"/>
      <c r="C22" s="619"/>
      <c r="D22" s="77">
        <f t="shared" ref="D22:D32" si="2">E22+F22</f>
        <v>18686380</v>
      </c>
      <c r="E22" s="76">
        <f>E23+E25+E27+E29</f>
        <v>12850000</v>
      </c>
      <c r="F22" s="76">
        <f>F23+F25+F27+F29</f>
        <v>5836380</v>
      </c>
      <c r="G22" s="76"/>
      <c r="H22" s="76"/>
      <c r="I22" s="76"/>
      <c r="J22" s="76">
        <f t="shared" ref="J22:O22" si="3">J23+J25+J27+J29</f>
        <v>5836380</v>
      </c>
      <c r="K22" s="77">
        <f t="shared" si="3"/>
        <v>0</v>
      </c>
      <c r="L22" s="76">
        <f t="shared" si="3"/>
        <v>10472650</v>
      </c>
      <c r="M22" s="76">
        <f t="shared" si="3"/>
        <v>8213730</v>
      </c>
      <c r="N22" s="77">
        <v>100</v>
      </c>
      <c r="O22" s="77">
        <f t="shared" si="3"/>
        <v>0</v>
      </c>
      <c r="P22" s="471"/>
      <c r="Q22" s="590">
        <f>L26+L35+L37+L38</f>
        <v>0</v>
      </c>
    </row>
    <row r="23" spans="1:17" ht="51.75" customHeight="1" x14ac:dyDescent="0.2">
      <c r="A23" s="483">
        <v>1</v>
      </c>
      <c r="B23" s="614" t="s">
        <v>573</v>
      </c>
      <c r="C23" s="610"/>
      <c r="D23" s="484">
        <f t="shared" si="2"/>
        <v>9350000</v>
      </c>
      <c r="E23" s="484">
        <f>E24</f>
        <v>9350000</v>
      </c>
      <c r="F23" s="484">
        <f>F24</f>
        <v>0</v>
      </c>
      <c r="G23" s="229"/>
      <c r="H23" s="484"/>
      <c r="I23" s="484"/>
      <c r="J23" s="484">
        <f t="shared" ref="J23:O23" si="4">J24</f>
        <v>0</v>
      </c>
      <c r="K23" s="484">
        <f t="shared" si="4"/>
        <v>0</v>
      </c>
      <c r="L23" s="484">
        <f t="shared" si="4"/>
        <v>9350000</v>
      </c>
      <c r="M23" s="484">
        <f t="shared" si="4"/>
        <v>0</v>
      </c>
      <c r="N23" s="485">
        <v>100</v>
      </c>
      <c r="O23" s="485">
        <f t="shared" si="4"/>
        <v>0</v>
      </c>
      <c r="P23" s="471" t="s">
        <v>22</v>
      </c>
    </row>
    <row r="24" spans="1:17" ht="44.25" customHeight="1" x14ac:dyDescent="0.2">
      <c r="A24" s="72"/>
      <c r="B24" s="609" t="s">
        <v>616</v>
      </c>
      <c r="C24" s="610"/>
      <c r="D24" s="76">
        <f t="shared" si="2"/>
        <v>9350000</v>
      </c>
      <c r="E24" s="486">
        <f>10000000-650000</f>
        <v>9350000</v>
      </c>
      <c r="F24" s="487">
        <v>0</v>
      </c>
      <c r="G24" s="229" t="s">
        <v>388</v>
      </c>
      <c r="H24" s="488"/>
      <c r="I24" s="488"/>
      <c r="J24" s="488"/>
      <c r="K24" s="488"/>
      <c r="L24" s="488">
        <f>4850000+4500000</f>
        <v>9350000</v>
      </c>
      <c r="M24" s="488">
        <f>E24-L24-O24</f>
        <v>0</v>
      </c>
      <c r="N24" s="353">
        <v>100</v>
      </c>
      <c r="O24" s="353"/>
      <c r="P24" s="471"/>
    </row>
    <row r="25" spans="1:17" ht="47.25" x14ac:dyDescent="0.2">
      <c r="A25" s="489">
        <v>2</v>
      </c>
      <c r="B25" s="620" t="s">
        <v>107</v>
      </c>
      <c r="C25" s="621"/>
      <c r="D25" s="490">
        <f t="shared" si="2"/>
        <v>5836380</v>
      </c>
      <c r="E25" s="491">
        <f>E26</f>
        <v>0</v>
      </c>
      <c r="F25" s="490">
        <f>F26</f>
        <v>5836380</v>
      </c>
      <c r="G25" s="229"/>
      <c r="H25" s="491"/>
      <c r="I25" s="491"/>
      <c r="J25" s="490">
        <f t="shared" ref="J25:O25" si="5">J26</f>
        <v>5836380</v>
      </c>
      <c r="K25" s="490">
        <f t="shared" si="5"/>
        <v>0</v>
      </c>
      <c r="L25" s="491">
        <f t="shared" si="5"/>
        <v>0</v>
      </c>
      <c r="M25" s="490">
        <f t="shared" si="5"/>
        <v>5836380</v>
      </c>
      <c r="N25" s="492">
        <f>L25*100/J25</f>
        <v>0</v>
      </c>
      <c r="O25" s="491">
        <f t="shared" si="5"/>
        <v>0</v>
      </c>
      <c r="P25" s="471" t="s">
        <v>31</v>
      </c>
    </row>
    <row r="26" spans="1:17" ht="75" x14ac:dyDescent="0.2">
      <c r="A26" s="72"/>
      <c r="B26" s="609" t="s">
        <v>603</v>
      </c>
      <c r="C26" s="610"/>
      <c r="D26" s="66">
        <f t="shared" si="2"/>
        <v>5836380</v>
      </c>
      <c r="E26" s="486">
        <v>0</v>
      </c>
      <c r="F26" s="493">
        <f>7919998.4-2083000-618.4</f>
        <v>5836380</v>
      </c>
      <c r="G26" s="229" t="s">
        <v>362</v>
      </c>
      <c r="H26" s="494" t="s">
        <v>459</v>
      </c>
      <c r="I26" s="439" t="s">
        <v>602</v>
      </c>
      <c r="J26" s="353">
        <v>5836380</v>
      </c>
      <c r="K26" s="353">
        <f>F26-J26</f>
        <v>0</v>
      </c>
      <c r="L26" s="488"/>
      <c r="M26" s="535">
        <f>J26-L26</f>
        <v>5836380</v>
      </c>
      <c r="N26" s="495">
        <f>L26*100/J26</f>
        <v>0</v>
      </c>
      <c r="O26" s="495"/>
      <c r="P26" s="471"/>
    </row>
    <row r="27" spans="1:17" ht="51" customHeight="1" x14ac:dyDescent="0.2">
      <c r="A27" s="496">
        <v>3</v>
      </c>
      <c r="B27" s="616" t="s">
        <v>108</v>
      </c>
      <c r="C27" s="617"/>
      <c r="D27" s="484">
        <f t="shared" si="2"/>
        <v>2000000</v>
      </c>
      <c r="E27" s="484">
        <f>E28</f>
        <v>2000000</v>
      </c>
      <c r="F27" s="484">
        <f>F28</f>
        <v>0</v>
      </c>
      <c r="G27" s="497"/>
      <c r="H27" s="484"/>
      <c r="I27" s="484"/>
      <c r="J27" s="484">
        <f t="shared" ref="J27:O27" si="6">J28</f>
        <v>0</v>
      </c>
      <c r="K27" s="484">
        <f t="shared" si="6"/>
        <v>0</v>
      </c>
      <c r="L27" s="484">
        <f t="shared" si="6"/>
        <v>4650</v>
      </c>
      <c r="M27" s="484">
        <f t="shared" si="6"/>
        <v>1995350</v>
      </c>
      <c r="N27" s="602">
        <f>L27*100/E27</f>
        <v>0.23250000000000001</v>
      </c>
      <c r="O27" s="484">
        <f t="shared" si="6"/>
        <v>0</v>
      </c>
      <c r="P27" s="471" t="s">
        <v>22</v>
      </c>
    </row>
    <row r="28" spans="1:17" ht="46.5" customHeight="1" x14ac:dyDescent="0.2">
      <c r="A28" s="498"/>
      <c r="B28" s="609" t="s">
        <v>604</v>
      </c>
      <c r="C28" s="610"/>
      <c r="D28" s="76">
        <f t="shared" si="2"/>
        <v>2000000</v>
      </c>
      <c r="E28" s="486">
        <v>2000000</v>
      </c>
      <c r="F28" s="499">
        <v>0</v>
      </c>
      <c r="G28" s="460" t="s">
        <v>349</v>
      </c>
      <c r="H28" s="488"/>
      <c r="I28" s="488"/>
      <c r="J28" s="488"/>
      <c r="K28" s="488"/>
      <c r="L28" s="488">
        <v>4650</v>
      </c>
      <c r="M28" s="488">
        <f>E28-L28</f>
        <v>1995350</v>
      </c>
      <c r="N28" s="601">
        <f>L28*100/E28</f>
        <v>0.23250000000000001</v>
      </c>
      <c r="O28" s="488"/>
      <c r="P28" s="471"/>
    </row>
    <row r="29" spans="1:17" ht="74.25" customHeight="1" x14ac:dyDescent="0.2">
      <c r="A29" s="470">
        <v>4</v>
      </c>
      <c r="B29" s="609" t="s">
        <v>199</v>
      </c>
      <c r="C29" s="610"/>
      <c r="D29" s="76">
        <f t="shared" si="2"/>
        <v>1500000</v>
      </c>
      <c r="E29" s="76">
        <f>E30</f>
        <v>1500000</v>
      </c>
      <c r="F29" s="76">
        <f>F30</f>
        <v>0</v>
      </c>
      <c r="G29" s="229"/>
      <c r="H29" s="76"/>
      <c r="I29" s="76"/>
      <c r="J29" s="76">
        <f t="shared" ref="J29:O29" si="7">J30</f>
        <v>0</v>
      </c>
      <c r="K29" s="76">
        <f t="shared" si="7"/>
        <v>0</v>
      </c>
      <c r="L29" s="76">
        <f t="shared" si="7"/>
        <v>1118000</v>
      </c>
      <c r="M29" s="76">
        <f t="shared" si="7"/>
        <v>382000</v>
      </c>
      <c r="N29" s="77">
        <f>L29*100/E29</f>
        <v>74.533333333333331</v>
      </c>
      <c r="O29" s="76">
        <f t="shared" si="7"/>
        <v>0</v>
      </c>
      <c r="P29" s="471" t="s">
        <v>111</v>
      </c>
    </row>
    <row r="30" spans="1:17" ht="37.5" x14ac:dyDescent="0.2">
      <c r="A30" s="498"/>
      <c r="B30" s="609" t="s">
        <v>605</v>
      </c>
      <c r="C30" s="610"/>
      <c r="D30" s="76">
        <f t="shared" si="2"/>
        <v>1500000</v>
      </c>
      <c r="E30" s="486">
        <v>1500000</v>
      </c>
      <c r="F30" s="487">
        <v>0</v>
      </c>
      <c r="G30" s="229" t="s">
        <v>349</v>
      </c>
      <c r="H30" s="488"/>
      <c r="I30" s="488"/>
      <c r="J30" s="488"/>
      <c r="K30" s="488"/>
      <c r="L30" s="488">
        <f>509200+608800</f>
        <v>1118000</v>
      </c>
      <c r="M30" s="488">
        <f>E30-L30</f>
        <v>382000</v>
      </c>
      <c r="N30" s="353">
        <f>L30*100/E30</f>
        <v>74.533333333333331</v>
      </c>
      <c r="O30" s="488"/>
      <c r="P30" s="471"/>
    </row>
    <row r="31" spans="1:17" ht="46.5" hidden="1" customHeight="1" x14ac:dyDescent="0.2">
      <c r="A31" s="614" t="s">
        <v>109</v>
      </c>
      <c r="B31" s="609"/>
      <c r="C31" s="610"/>
      <c r="D31" s="73">
        <f t="shared" si="2"/>
        <v>0</v>
      </c>
      <c r="E31" s="73">
        <v>0</v>
      </c>
      <c r="F31" s="73">
        <f>F32</f>
        <v>0</v>
      </c>
      <c r="G31" s="73"/>
      <c r="H31" s="73"/>
      <c r="I31" s="73"/>
      <c r="J31" s="73">
        <f t="shared" ref="J31:O32" si="8">J32</f>
        <v>0</v>
      </c>
      <c r="K31" s="73">
        <f t="shared" si="8"/>
        <v>0</v>
      </c>
      <c r="L31" s="73">
        <f t="shared" si="8"/>
        <v>0</v>
      </c>
      <c r="M31" s="73">
        <f t="shared" si="8"/>
        <v>0</v>
      </c>
      <c r="N31" s="73">
        <v>0</v>
      </c>
      <c r="O31" s="73">
        <f t="shared" si="8"/>
        <v>0</v>
      </c>
      <c r="P31" s="471"/>
    </row>
    <row r="32" spans="1:17" ht="112.5" hidden="1" x14ac:dyDescent="0.2">
      <c r="A32" s="470">
        <v>7</v>
      </c>
      <c r="B32" s="609" t="s">
        <v>110</v>
      </c>
      <c r="C32" s="610"/>
      <c r="D32" s="76">
        <f t="shared" si="2"/>
        <v>0</v>
      </c>
      <c r="E32" s="76">
        <v>0</v>
      </c>
      <c r="F32" s="76">
        <f>F33</f>
        <v>0</v>
      </c>
      <c r="G32" s="229" t="s">
        <v>376</v>
      </c>
      <c r="H32" s="76"/>
      <c r="I32" s="76"/>
      <c r="J32" s="76">
        <f t="shared" si="8"/>
        <v>0</v>
      </c>
      <c r="K32" s="76">
        <f t="shared" si="8"/>
        <v>0</v>
      </c>
      <c r="L32" s="76">
        <f t="shared" si="8"/>
        <v>0</v>
      </c>
      <c r="M32" s="76">
        <v>0</v>
      </c>
      <c r="N32" s="76">
        <v>0</v>
      </c>
      <c r="O32" s="76"/>
      <c r="P32" s="471" t="s">
        <v>88</v>
      </c>
    </row>
    <row r="33" spans="1:16" ht="88.5" hidden="1" customHeight="1" x14ac:dyDescent="0.2">
      <c r="A33" s="500"/>
      <c r="B33" s="609" t="s">
        <v>253</v>
      </c>
      <c r="C33" s="610"/>
      <c r="D33" s="76">
        <f>F33</f>
        <v>0</v>
      </c>
      <c r="E33" s="76">
        <v>0</v>
      </c>
      <c r="F33" s="488">
        <f>2970000-2970000</f>
        <v>0</v>
      </c>
      <c r="G33" s="229"/>
      <c r="H33" s="488"/>
      <c r="I33" s="488"/>
      <c r="J33" s="488"/>
      <c r="K33" s="488"/>
      <c r="L33" s="488"/>
      <c r="M33" s="488">
        <f>F33-L33</f>
        <v>0</v>
      </c>
      <c r="N33" s="495" t="e">
        <f>L33*100/J33</f>
        <v>#DIV/0!</v>
      </c>
      <c r="O33" s="495"/>
      <c r="P33" s="471"/>
    </row>
    <row r="34" spans="1:16" s="501" customFormat="1" ht="24.75" customHeight="1" x14ac:dyDescent="0.2">
      <c r="A34" s="615" t="s">
        <v>350</v>
      </c>
      <c r="B34" s="615"/>
      <c r="C34" s="615"/>
      <c r="D34" s="615"/>
      <c r="E34" s="615"/>
      <c r="F34" s="615"/>
      <c r="G34" s="615"/>
      <c r="H34" s="615"/>
      <c r="I34" s="615"/>
      <c r="J34" s="615"/>
      <c r="K34" s="615"/>
      <c r="L34" s="615"/>
      <c r="M34" s="615"/>
      <c r="N34" s="615"/>
      <c r="O34" s="615"/>
      <c r="P34" s="615"/>
    </row>
    <row r="35" spans="1:16" ht="72" customHeight="1" x14ac:dyDescent="0.2">
      <c r="A35" s="500"/>
      <c r="B35" s="612" t="s">
        <v>557</v>
      </c>
      <c r="C35" s="613"/>
      <c r="D35" s="474">
        <f>E35+F35</f>
        <v>2083000</v>
      </c>
      <c r="E35" s="474">
        <v>0</v>
      </c>
      <c r="F35" s="272">
        <v>2083000</v>
      </c>
      <c r="G35" s="229" t="s">
        <v>362</v>
      </c>
      <c r="H35" s="494" t="s">
        <v>642</v>
      </c>
      <c r="I35" s="596" t="s">
        <v>307</v>
      </c>
      <c r="J35" s="272">
        <v>1640000</v>
      </c>
      <c r="K35" s="272">
        <f>F35-J35</f>
        <v>443000</v>
      </c>
      <c r="L35" s="272"/>
      <c r="M35" s="272">
        <f>J35-L35</f>
        <v>1640000</v>
      </c>
      <c r="N35" s="475"/>
      <c r="O35" s="475"/>
      <c r="P35" s="75" t="s">
        <v>31</v>
      </c>
    </row>
    <row r="36" spans="1:16" ht="21" customHeight="1" x14ac:dyDescent="0.2">
      <c r="A36" s="614" t="s">
        <v>555</v>
      </c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10"/>
    </row>
    <row r="37" spans="1:16" ht="64.5" customHeight="1" x14ac:dyDescent="0.2">
      <c r="A37" s="500"/>
      <c r="B37" s="612" t="s">
        <v>574</v>
      </c>
      <c r="C37" s="613"/>
      <c r="D37" s="474">
        <f>F37</f>
        <v>4000000</v>
      </c>
      <c r="E37" s="474">
        <v>0</v>
      </c>
      <c r="F37" s="272">
        <f>4000000</f>
        <v>4000000</v>
      </c>
      <c r="G37" s="229" t="s">
        <v>362</v>
      </c>
      <c r="H37" s="576" t="s">
        <v>643</v>
      </c>
      <c r="I37" s="290" t="s">
        <v>613</v>
      </c>
      <c r="J37" s="272">
        <v>3990000</v>
      </c>
      <c r="K37" s="272">
        <f>F37-J37</f>
        <v>10000</v>
      </c>
      <c r="L37" s="272"/>
      <c r="M37" s="272">
        <f>J37</f>
        <v>3990000</v>
      </c>
      <c r="N37" s="502"/>
      <c r="O37" s="475"/>
      <c r="P37" s="75" t="s">
        <v>29</v>
      </c>
    </row>
    <row r="38" spans="1:16" ht="67.5" customHeight="1" x14ac:dyDescent="0.2">
      <c r="A38" s="500"/>
      <c r="B38" s="612" t="s">
        <v>556</v>
      </c>
      <c r="C38" s="613"/>
      <c r="D38" s="474">
        <f>F38</f>
        <v>5800000</v>
      </c>
      <c r="E38" s="474">
        <v>0</v>
      </c>
      <c r="F38" s="272">
        <f>5800000</f>
        <v>5800000</v>
      </c>
      <c r="G38" s="229" t="s">
        <v>362</v>
      </c>
      <c r="H38" s="576" t="s">
        <v>643</v>
      </c>
      <c r="I38" s="290" t="s">
        <v>613</v>
      </c>
      <c r="J38" s="272">
        <v>5795000</v>
      </c>
      <c r="K38" s="272">
        <f>F38-J38</f>
        <v>5000</v>
      </c>
      <c r="L38" s="272"/>
      <c r="M38" s="272">
        <f>J38</f>
        <v>5795000</v>
      </c>
      <c r="N38" s="502"/>
      <c r="O38" s="475"/>
      <c r="P38" s="75" t="s">
        <v>29</v>
      </c>
    </row>
    <row r="39" spans="1:16" ht="47.25" x14ac:dyDescent="0.2">
      <c r="A39" s="500"/>
      <c r="B39" s="612" t="s">
        <v>570</v>
      </c>
      <c r="C39" s="613"/>
      <c r="D39" s="474">
        <f>E39</f>
        <v>224235</v>
      </c>
      <c r="E39" s="474">
        <v>224235</v>
      </c>
      <c r="F39" s="272"/>
      <c r="G39" s="229" t="s">
        <v>5</v>
      </c>
      <c r="H39" s="272"/>
      <c r="I39" s="272"/>
      <c r="J39" s="272"/>
      <c r="K39" s="272"/>
      <c r="L39" s="272"/>
      <c r="M39" s="272">
        <f>E39</f>
        <v>224235</v>
      </c>
      <c r="N39" s="502"/>
      <c r="O39" s="475"/>
      <c r="P39" s="75" t="s">
        <v>88</v>
      </c>
    </row>
    <row r="40" spans="1:16" x14ac:dyDescent="0.2">
      <c r="A40" s="611" t="s">
        <v>83</v>
      </c>
      <c r="B40" s="611"/>
      <c r="C40" s="611"/>
      <c r="D40" s="55">
        <f>D8+D22+D31+D35+D37+D38+D39</f>
        <v>30793615</v>
      </c>
      <c r="E40" s="503">
        <f>E8+E22+E31+E39</f>
        <v>13074235</v>
      </c>
      <c r="F40" s="55">
        <f>F8+F22+F31+F35+F37+F38</f>
        <v>17719380</v>
      </c>
      <c r="G40" s="503"/>
      <c r="H40" s="503"/>
      <c r="I40" s="503"/>
      <c r="J40" s="55">
        <f>J8+J22+J31+J35+J37+J38+J39</f>
        <v>17261380</v>
      </c>
      <c r="K40" s="55">
        <f>K8+K22+K31+K35+K37+K38+K39</f>
        <v>458000</v>
      </c>
      <c r="L40" s="55">
        <f>L8+L22+L31+L35+L37+L38+L39</f>
        <v>10472650</v>
      </c>
      <c r="M40" s="55">
        <f>M8+M22+M31+M35+M37+M38+M39</f>
        <v>19862965</v>
      </c>
      <c r="N40" s="310">
        <f>L40*100/D40</f>
        <v>34.009160665287268</v>
      </c>
      <c r="O40" s="503">
        <f>O8+O22+O31</f>
        <v>0</v>
      </c>
      <c r="P40" s="467"/>
    </row>
    <row r="42" spans="1:16" x14ac:dyDescent="0.2">
      <c r="D42" s="590"/>
    </row>
    <row r="43" spans="1:16" x14ac:dyDescent="0.2">
      <c r="D43" s="568"/>
    </row>
    <row r="44" spans="1:16" x14ac:dyDescent="0.2">
      <c r="D44" s="569">
        <f>D40-O40</f>
        <v>30793615</v>
      </c>
    </row>
  </sheetData>
  <mergeCells count="39">
    <mergeCell ref="A7:C7"/>
    <mergeCell ref="A8:C8"/>
    <mergeCell ref="B9:C9"/>
    <mergeCell ref="B15:C15"/>
    <mergeCell ref="B12:C12"/>
    <mergeCell ref="B11:C11"/>
    <mergeCell ref="B10:C10"/>
    <mergeCell ref="A1:P1"/>
    <mergeCell ref="A5:A6"/>
    <mergeCell ref="B5:C6"/>
    <mergeCell ref="P5:P6"/>
    <mergeCell ref="G5:K5"/>
    <mergeCell ref="L5:N5"/>
    <mergeCell ref="D5:F5"/>
    <mergeCell ref="A3:P3"/>
    <mergeCell ref="O5:O6"/>
    <mergeCell ref="M4:P4"/>
    <mergeCell ref="B24:C24"/>
    <mergeCell ref="B16:C16"/>
    <mergeCell ref="B32:C32"/>
    <mergeCell ref="B27:C27"/>
    <mergeCell ref="B29:C29"/>
    <mergeCell ref="A31:C31"/>
    <mergeCell ref="A22:C22"/>
    <mergeCell ref="B23:C23"/>
    <mergeCell ref="B25:C25"/>
    <mergeCell ref="B17:C17"/>
    <mergeCell ref="B18:C18"/>
    <mergeCell ref="B33:C33"/>
    <mergeCell ref="A40:C40"/>
    <mergeCell ref="B28:C28"/>
    <mergeCell ref="B26:C26"/>
    <mergeCell ref="B39:C39"/>
    <mergeCell ref="B35:C35"/>
    <mergeCell ref="B38:C38"/>
    <mergeCell ref="B37:C37"/>
    <mergeCell ref="A36:P36"/>
    <mergeCell ref="B30:C30"/>
    <mergeCell ref="A34:P34"/>
  </mergeCells>
  <pageMargins left="0.19685039370078741" right="0.11811023622047245" top="0.19685039370078741" bottom="0.19685039370078741" header="0.11811023622047245" footer="0.11811023622047245"/>
  <pageSetup paperSize="9" scale="70" orientation="landscape" r:id="rId1"/>
  <headerFooter>
    <oddHeader>&amp;R&amp;"TH SarabunPSK,ธรรมดา"&amp;A</oddHeader>
    <oddFooter>&amp;C&amp;"TH SarabunPSK,ธรรมดา"&amp;12หน้าที่ &amp;P&amp;R&amp;"TH SarabunPSK,ธรรมดา"&amp;12&amp;Z&amp;F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zoomScale="80" zoomScaleNormal="80" zoomScaleSheetLayoutView="90" workbookViewId="0">
      <selection activeCell="J4" sqref="J4:M4"/>
    </sheetView>
  </sheetViews>
  <sheetFormatPr defaultColWidth="12.625" defaultRowHeight="21" x14ac:dyDescent="0.2"/>
  <cols>
    <col min="1" max="1" width="2.625" style="564" bestFit="1" customWidth="1"/>
    <col min="2" max="2" width="35.5" style="1" customWidth="1"/>
    <col min="3" max="3" width="13.375" style="1" bestFit="1" customWidth="1"/>
    <col min="4" max="4" width="13.75" style="565" bestFit="1" customWidth="1"/>
    <col min="5" max="5" width="12.375" style="565" customWidth="1"/>
    <col min="6" max="6" width="11.125" style="565" customWidth="1"/>
    <col min="7" max="7" width="11.5" style="565" customWidth="1"/>
    <col min="8" max="8" width="13.5" style="565" customWidth="1"/>
    <col min="9" max="9" width="14.375" style="565" customWidth="1"/>
    <col min="10" max="11" width="13.625" style="565" customWidth="1"/>
    <col min="12" max="12" width="8.125" style="565" customWidth="1"/>
    <col min="13" max="13" width="9.625" style="566" customWidth="1"/>
    <col min="14" max="16384" width="12.625" style="1"/>
  </cols>
  <sheetData>
    <row r="1" spans="1:14" ht="21" customHeight="1" x14ac:dyDescent="0.2">
      <c r="A1" s="651" t="s">
        <v>170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</row>
    <row r="2" spans="1:14" ht="21" customHeight="1" x14ac:dyDescent="0.2">
      <c r="A2" s="651" t="s">
        <v>169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</row>
    <row r="3" spans="1:14" ht="21" customHeight="1" x14ac:dyDescent="0.2">
      <c r="A3" s="651" t="s">
        <v>610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</row>
    <row r="4" spans="1:14" x14ac:dyDescent="0.2">
      <c r="A4" s="532"/>
      <c r="B4" s="532"/>
      <c r="C4" s="532"/>
      <c r="D4" s="533"/>
      <c r="E4" s="533"/>
      <c r="F4" s="533"/>
      <c r="G4" s="533"/>
      <c r="H4" s="533"/>
      <c r="I4" s="533"/>
      <c r="J4" s="654" t="s">
        <v>638</v>
      </c>
      <c r="K4" s="654"/>
      <c r="L4" s="654"/>
      <c r="M4" s="654"/>
    </row>
    <row r="5" spans="1:14" s="534" customFormat="1" ht="44.25" customHeight="1" x14ac:dyDescent="0.2">
      <c r="A5" s="652" t="s">
        <v>89</v>
      </c>
      <c r="B5" s="652" t="s">
        <v>90</v>
      </c>
      <c r="C5" s="631" t="s">
        <v>1</v>
      </c>
      <c r="D5" s="631"/>
      <c r="E5" s="653" t="s">
        <v>183</v>
      </c>
      <c r="F5" s="653"/>
      <c r="G5" s="653"/>
      <c r="H5" s="653"/>
      <c r="I5" s="653"/>
      <c r="J5" s="631" t="s">
        <v>184</v>
      </c>
      <c r="K5" s="631"/>
      <c r="L5" s="631"/>
      <c r="M5" s="653" t="s">
        <v>91</v>
      </c>
    </row>
    <row r="6" spans="1:14" s="534" customFormat="1" ht="42" x14ac:dyDescent="0.2">
      <c r="A6" s="652"/>
      <c r="B6" s="652"/>
      <c r="C6" s="520" t="s">
        <v>3</v>
      </c>
      <c r="D6" s="520" t="s">
        <v>4</v>
      </c>
      <c r="E6" s="520" t="s">
        <v>179</v>
      </c>
      <c r="F6" s="520" t="s">
        <v>180</v>
      </c>
      <c r="G6" s="520" t="s">
        <v>252</v>
      </c>
      <c r="H6" s="520" t="s">
        <v>181</v>
      </c>
      <c r="I6" s="520" t="s">
        <v>182</v>
      </c>
      <c r="J6" s="520" t="s">
        <v>185</v>
      </c>
      <c r="K6" s="520" t="s">
        <v>186</v>
      </c>
      <c r="L6" s="520" t="s">
        <v>187</v>
      </c>
      <c r="M6" s="653"/>
    </row>
    <row r="7" spans="1:14" ht="20.25" customHeight="1" x14ac:dyDescent="0.2">
      <c r="A7" s="649" t="s">
        <v>92</v>
      </c>
      <c r="B7" s="649"/>
      <c r="C7" s="488">
        <f>D7</f>
        <v>47300000</v>
      </c>
      <c r="D7" s="488">
        <f t="shared" ref="C7:K9" si="0">D8</f>
        <v>47300000</v>
      </c>
      <c r="E7" s="488"/>
      <c r="F7" s="488"/>
      <c r="G7" s="488"/>
      <c r="H7" s="353">
        <v>0</v>
      </c>
      <c r="I7" s="353">
        <f t="shared" si="0"/>
        <v>0</v>
      </c>
      <c r="J7" s="353">
        <v>0</v>
      </c>
      <c r="K7" s="353">
        <f t="shared" si="0"/>
        <v>47300000</v>
      </c>
      <c r="L7" s="535">
        <v>0</v>
      </c>
      <c r="M7" s="512"/>
    </row>
    <row r="8" spans="1:14" ht="20.25" customHeight="1" x14ac:dyDescent="0.2">
      <c r="A8" s="649" t="s">
        <v>93</v>
      </c>
      <c r="B8" s="649"/>
      <c r="C8" s="488">
        <f t="shared" si="0"/>
        <v>47300000</v>
      </c>
      <c r="D8" s="488">
        <f t="shared" si="0"/>
        <v>47300000</v>
      </c>
      <c r="E8" s="488"/>
      <c r="F8" s="488"/>
      <c r="G8" s="488"/>
      <c r="H8" s="353">
        <f t="shared" si="0"/>
        <v>47300000</v>
      </c>
      <c r="I8" s="353">
        <f t="shared" si="0"/>
        <v>0</v>
      </c>
      <c r="J8" s="353">
        <f t="shared" si="0"/>
        <v>0</v>
      </c>
      <c r="K8" s="353">
        <f t="shared" si="0"/>
        <v>47300000</v>
      </c>
      <c r="L8" s="488">
        <v>0</v>
      </c>
      <c r="M8" s="536"/>
    </row>
    <row r="9" spans="1:14" ht="24" customHeight="1" x14ac:dyDescent="0.2">
      <c r="A9" s="649" t="s">
        <v>94</v>
      </c>
      <c r="B9" s="649"/>
      <c r="C9" s="488">
        <f t="shared" si="0"/>
        <v>47300000</v>
      </c>
      <c r="D9" s="488">
        <f t="shared" si="0"/>
        <v>47300000</v>
      </c>
      <c r="E9" s="488"/>
      <c r="F9" s="488"/>
      <c r="G9" s="488"/>
      <c r="H9" s="353">
        <f t="shared" si="0"/>
        <v>47300000</v>
      </c>
      <c r="I9" s="353">
        <f t="shared" si="0"/>
        <v>0</v>
      </c>
      <c r="J9" s="353">
        <f t="shared" si="0"/>
        <v>0</v>
      </c>
      <c r="K9" s="353">
        <f t="shared" si="0"/>
        <v>47300000</v>
      </c>
      <c r="L9" s="488">
        <v>0</v>
      </c>
      <c r="M9" s="536"/>
    </row>
    <row r="10" spans="1:14" s="541" customFormat="1" ht="56.25" x14ac:dyDescent="0.2">
      <c r="A10" s="537">
        <v>1</v>
      </c>
      <c r="B10" s="536" t="s">
        <v>95</v>
      </c>
      <c r="C10" s="538">
        <f>D10</f>
        <v>47300000</v>
      </c>
      <c r="D10" s="538">
        <f>49000000-1700000</f>
        <v>47300000</v>
      </c>
      <c r="E10" s="306" t="s">
        <v>362</v>
      </c>
      <c r="F10" s="307" t="s">
        <v>639</v>
      </c>
      <c r="G10" s="306" t="s">
        <v>499</v>
      </c>
      <c r="H10" s="353">
        <v>47300000</v>
      </c>
      <c r="I10" s="353">
        <f>D10-H10</f>
        <v>0</v>
      </c>
      <c r="J10" s="353"/>
      <c r="K10" s="353">
        <f>H10-J10</f>
        <v>47300000</v>
      </c>
      <c r="L10" s="539">
        <v>0</v>
      </c>
      <c r="M10" s="540" t="s">
        <v>29</v>
      </c>
    </row>
    <row r="11" spans="1:14" hidden="1" x14ac:dyDescent="0.2">
      <c r="A11" s="657" t="s">
        <v>92</v>
      </c>
      <c r="B11" s="657"/>
      <c r="C11" s="272"/>
      <c r="D11" s="272"/>
      <c r="E11" s="272"/>
      <c r="F11" s="272"/>
      <c r="G11" s="272"/>
      <c r="H11" s="64"/>
      <c r="I11" s="64"/>
      <c r="J11" s="64"/>
      <c r="K11" s="64"/>
      <c r="L11" s="542"/>
      <c r="M11" s="543"/>
    </row>
    <row r="12" spans="1:14" hidden="1" x14ac:dyDescent="0.2">
      <c r="A12" s="657" t="s">
        <v>93</v>
      </c>
      <c r="B12" s="657"/>
      <c r="C12" s="488"/>
      <c r="D12" s="488"/>
      <c r="E12" s="488"/>
      <c r="F12" s="488"/>
      <c r="G12" s="488"/>
      <c r="H12" s="353"/>
      <c r="I12" s="353"/>
      <c r="J12" s="353"/>
      <c r="K12" s="353"/>
      <c r="L12" s="488"/>
      <c r="M12" s="544"/>
    </row>
    <row r="13" spans="1:14" ht="33" customHeight="1" x14ac:dyDescent="0.2">
      <c r="A13" s="649" t="s">
        <v>96</v>
      </c>
      <c r="B13" s="649"/>
      <c r="C13" s="488">
        <f>C14</f>
        <v>26143400</v>
      </c>
      <c r="D13" s="488">
        <f>D14</f>
        <v>26143400</v>
      </c>
      <c r="E13" s="488"/>
      <c r="F13" s="488"/>
      <c r="G13" s="488"/>
      <c r="H13" s="353">
        <f t="shared" ref="H13:K14" si="1">H14</f>
        <v>26141787.800000001</v>
      </c>
      <c r="I13" s="353">
        <f t="shared" si="1"/>
        <v>1612.2000000001863</v>
      </c>
      <c r="J13" s="353">
        <f t="shared" si="1"/>
        <v>19592102.699999999</v>
      </c>
      <c r="K13" s="353">
        <f t="shared" si="1"/>
        <v>6549685.0999999996</v>
      </c>
      <c r="L13" s="535">
        <f>J13*100/H13</f>
        <v>74.945534903316755</v>
      </c>
      <c r="M13" s="543"/>
    </row>
    <row r="14" spans="1:14" ht="45" customHeight="1" x14ac:dyDescent="0.2">
      <c r="A14" s="649" t="s">
        <v>97</v>
      </c>
      <c r="B14" s="649"/>
      <c r="C14" s="488">
        <f>C15</f>
        <v>26143400</v>
      </c>
      <c r="D14" s="488">
        <f>D15</f>
        <v>26143400</v>
      </c>
      <c r="E14" s="488"/>
      <c r="F14" s="488"/>
      <c r="G14" s="488"/>
      <c r="H14" s="353">
        <f t="shared" si="1"/>
        <v>26141787.800000001</v>
      </c>
      <c r="I14" s="353">
        <f t="shared" si="1"/>
        <v>1612.2000000001863</v>
      </c>
      <c r="J14" s="353">
        <f t="shared" si="1"/>
        <v>19592102.699999999</v>
      </c>
      <c r="K14" s="353">
        <f t="shared" si="1"/>
        <v>6549685.0999999996</v>
      </c>
      <c r="L14" s="535">
        <f>J14*100/H14</f>
        <v>74.945534903316755</v>
      </c>
      <c r="M14" s="544"/>
    </row>
    <row r="15" spans="1:14" ht="47.25" customHeight="1" x14ac:dyDescent="0.2">
      <c r="A15" s="537">
        <v>1</v>
      </c>
      <c r="B15" s="536" t="s">
        <v>98</v>
      </c>
      <c r="C15" s="488">
        <f>D15</f>
        <v>26143400</v>
      </c>
      <c r="D15" s="488">
        <f>D16+D19+D20+D21+D22</f>
        <v>26143400</v>
      </c>
      <c r="E15" s="488"/>
      <c r="F15" s="488"/>
      <c r="G15" s="488"/>
      <c r="H15" s="353">
        <f>H16+H19+H20+H21+H22+H17+H18</f>
        <v>26141787.800000001</v>
      </c>
      <c r="I15" s="353">
        <f>I16+I19+I20+I21+I22</f>
        <v>1612.2000000001863</v>
      </c>
      <c r="J15" s="353">
        <f>J16+J19+J20+J21+J22</f>
        <v>19592102.699999999</v>
      </c>
      <c r="K15" s="353">
        <f>K16+K19+K20+K21+K22</f>
        <v>6549685.0999999996</v>
      </c>
      <c r="L15" s="535">
        <f>J15*100/D15</f>
        <v>74.940913194152259</v>
      </c>
      <c r="M15" s="645" t="s">
        <v>99</v>
      </c>
    </row>
    <row r="16" spans="1:14" ht="63" x14ac:dyDescent="0.2">
      <c r="A16" s="650"/>
      <c r="B16" s="650" t="s">
        <v>477</v>
      </c>
      <c r="C16" s="660">
        <f>D16</f>
        <v>5747948</v>
      </c>
      <c r="D16" s="660">
        <f>6039000-285140-5912</f>
        <v>5747948</v>
      </c>
      <c r="E16" s="660" t="s">
        <v>362</v>
      </c>
      <c r="F16" s="290" t="s">
        <v>512</v>
      </c>
      <c r="G16" s="585" t="s">
        <v>511</v>
      </c>
      <c r="H16" s="64">
        <v>492500</v>
      </c>
      <c r="I16" s="648">
        <f>D16-H16-H17-H18</f>
        <v>0.20000000018626451</v>
      </c>
      <c r="J16" s="648">
        <v>849962.7</v>
      </c>
      <c r="K16" s="648">
        <f>N16-J16</f>
        <v>4897985.0999999996</v>
      </c>
      <c r="L16" s="648">
        <f>J16*100/D16</f>
        <v>14.787237114879954</v>
      </c>
      <c r="M16" s="645"/>
      <c r="N16" s="545">
        <v>5747947.7999999998</v>
      </c>
    </row>
    <row r="17" spans="1:15" ht="72.75" customHeight="1" x14ac:dyDescent="0.2">
      <c r="A17" s="650"/>
      <c r="B17" s="650"/>
      <c r="C17" s="660"/>
      <c r="D17" s="660"/>
      <c r="E17" s="660"/>
      <c r="F17" s="290" t="s">
        <v>507</v>
      </c>
      <c r="G17" s="585" t="s">
        <v>509</v>
      </c>
      <c r="H17" s="64">
        <v>2455447.7999999998</v>
      </c>
      <c r="I17" s="648"/>
      <c r="J17" s="648"/>
      <c r="K17" s="648"/>
      <c r="L17" s="648"/>
      <c r="M17" s="645"/>
      <c r="N17" s="546"/>
      <c r="O17" s="546"/>
    </row>
    <row r="18" spans="1:15" ht="63" x14ac:dyDescent="0.2">
      <c r="A18" s="650"/>
      <c r="B18" s="650"/>
      <c r="C18" s="660"/>
      <c r="D18" s="660"/>
      <c r="E18" s="660"/>
      <c r="F18" s="290" t="s">
        <v>508</v>
      </c>
      <c r="G18" s="585" t="s">
        <v>510</v>
      </c>
      <c r="H18" s="64">
        <v>2800000</v>
      </c>
      <c r="I18" s="648"/>
      <c r="J18" s="648"/>
      <c r="K18" s="648"/>
      <c r="L18" s="648"/>
      <c r="M18" s="645"/>
    </row>
    <row r="19" spans="1:15" ht="84" x14ac:dyDescent="0.2">
      <c r="A19" s="586"/>
      <c r="B19" s="512" t="s">
        <v>100</v>
      </c>
      <c r="C19" s="272">
        <f>D19</f>
        <v>1942200</v>
      </c>
      <c r="D19" s="272">
        <f>1992000-49800</f>
        <v>1942200</v>
      </c>
      <c r="E19" s="585" t="s">
        <v>388</v>
      </c>
      <c r="F19" s="290" t="s">
        <v>480</v>
      </c>
      <c r="G19" s="585" t="s">
        <v>479</v>
      </c>
      <c r="H19" s="272">
        <v>1942200</v>
      </c>
      <c r="I19" s="64">
        <f>D19-H19</f>
        <v>0</v>
      </c>
      <c r="J19" s="64">
        <v>1942200</v>
      </c>
      <c r="K19" s="64">
        <f>H19-J19</f>
        <v>0</v>
      </c>
      <c r="L19" s="64">
        <f>J19*100/H19</f>
        <v>100</v>
      </c>
      <c r="M19" s="645"/>
    </row>
    <row r="20" spans="1:15" ht="56.25" x14ac:dyDescent="0.2">
      <c r="A20" s="547"/>
      <c r="B20" s="512" t="s">
        <v>101</v>
      </c>
      <c r="C20" s="272">
        <f>D20</f>
        <v>1653312</v>
      </c>
      <c r="D20" s="272">
        <f>3320000-1666200-488</f>
        <v>1653312</v>
      </c>
      <c r="E20" s="521" t="s">
        <v>362</v>
      </c>
      <c r="F20" s="290" t="s">
        <v>481</v>
      </c>
      <c r="G20" s="521" t="s">
        <v>448</v>
      </c>
      <c r="H20" s="272">
        <v>1651700</v>
      </c>
      <c r="I20" s="64">
        <f>D20-H20</f>
        <v>1612</v>
      </c>
      <c r="J20" s="64"/>
      <c r="K20" s="64">
        <f>H20-J20</f>
        <v>1651700</v>
      </c>
      <c r="L20" s="64">
        <f>J20*100/H20</f>
        <v>0</v>
      </c>
      <c r="M20" s="661" t="s">
        <v>99</v>
      </c>
    </row>
    <row r="21" spans="1:15" ht="84" x14ac:dyDescent="0.2">
      <c r="A21" s="547"/>
      <c r="B21" s="512" t="s">
        <v>254</v>
      </c>
      <c r="C21" s="272">
        <f>D21</f>
        <v>16799940</v>
      </c>
      <c r="D21" s="272">
        <f>24372000-7572060</f>
        <v>16799940</v>
      </c>
      <c r="E21" s="521" t="s">
        <v>388</v>
      </c>
      <c r="F21" s="290" t="s">
        <v>482</v>
      </c>
      <c r="G21" s="521" t="s">
        <v>478</v>
      </c>
      <c r="H21" s="272">
        <v>16799940</v>
      </c>
      <c r="I21" s="64">
        <f>D21-H21</f>
        <v>0</v>
      </c>
      <c r="J21" s="64">
        <v>16799940</v>
      </c>
      <c r="K21" s="64">
        <f>H21-J21</f>
        <v>0</v>
      </c>
      <c r="L21" s="64">
        <f>J21*100/H21</f>
        <v>100</v>
      </c>
      <c r="M21" s="661"/>
    </row>
    <row r="22" spans="1:15" ht="78.75" hidden="1" x14ac:dyDescent="0.2">
      <c r="A22" s="547"/>
      <c r="B22" s="512" t="s">
        <v>283</v>
      </c>
      <c r="C22" s="272">
        <f>D22</f>
        <v>0</v>
      </c>
      <c r="D22" s="272">
        <f>3960000-3960000</f>
        <v>0</v>
      </c>
      <c r="E22" s="521" t="s">
        <v>268</v>
      </c>
      <c r="F22" s="272"/>
      <c r="G22" s="272"/>
      <c r="H22" s="272"/>
      <c r="I22" s="64"/>
      <c r="J22" s="64"/>
      <c r="K22" s="64">
        <f>H22-J22</f>
        <v>0</v>
      </c>
      <c r="L22" s="272">
        <v>0</v>
      </c>
      <c r="M22" s="548" t="s">
        <v>412</v>
      </c>
    </row>
    <row r="23" spans="1:15" x14ac:dyDescent="0.2">
      <c r="A23" s="646" t="s">
        <v>468</v>
      </c>
      <c r="B23" s="647"/>
      <c r="C23" s="549">
        <f t="shared" ref="C23:C28" si="2">D23</f>
        <v>11279600</v>
      </c>
      <c r="D23" s="549">
        <f>D24+D25+D26+D27+D28+D29+D30+D31</f>
        <v>11279600</v>
      </c>
      <c r="E23" s="550"/>
      <c r="F23" s="550"/>
      <c r="G23" s="550"/>
      <c r="H23" s="551">
        <f>H24+H25+H26+H27+H28+H29+H30+H31</f>
        <v>9206470</v>
      </c>
      <c r="I23" s="551">
        <f t="shared" ref="I23:K23" si="3">I24+I25+I26+I27+I28+I29+I30+I31</f>
        <v>2073130</v>
      </c>
      <c r="J23" s="551">
        <f t="shared" si="3"/>
        <v>457700</v>
      </c>
      <c r="K23" s="551">
        <f t="shared" si="3"/>
        <v>10455170</v>
      </c>
      <c r="L23" s="608">
        <f>J23*100/H23</f>
        <v>4.9715037359596019</v>
      </c>
      <c r="M23" s="550"/>
    </row>
    <row r="24" spans="1:15" ht="63" x14ac:dyDescent="0.2">
      <c r="A24" s="547"/>
      <c r="B24" s="552" t="s">
        <v>623</v>
      </c>
      <c r="C24" s="553">
        <f t="shared" si="2"/>
        <v>2860000</v>
      </c>
      <c r="D24" s="554">
        <f>1716000+1144000</f>
        <v>2860000</v>
      </c>
      <c r="E24" s="555" t="s">
        <v>362</v>
      </c>
      <c r="F24" s="290" t="s">
        <v>621</v>
      </c>
      <c r="G24" s="558" t="s">
        <v>622</v>
      </c>
      <c r="H24" s="554">
        <v>2522000</v>
      </c>
      <c r="I24" s="553">
        <f>D24-H24</f>
        <v>338000</v>
      </c>
      <c r="J24" s="552"/>
      <c r="K24" s="553">
        <f>H24-J24</f>
        <v>2522000</v>
      </c>
      <c r="L24" s="552"/>
      <c r="M24" s="658" t="s">
        <v>99</v>
      </c>
    </row>
    <row r="25" spans="1:15" ht="56.25" x14ac:dyDescent="0.2">
      <c r="A25" s="556"/>
      <c r="B25" s="557" t="s">
        <v>502</v>
      </c>
      <c r="C25" s="553">
        <f t="shared" si="2"/>
        <v>457700</v>
      </c>
      <c r="D25" s="554">
        <v>457700</v>
      </c>
      <c r="E25" s="547" t="s">
        <v>388</v>
      </c>
      <c r="F25" s="290" t="s">
        <v>484</v>
      </c>
      <c r="G25" s="558" t="s">
        <v>506</v>
      </c>
      <c r="H25" s="559">
        <v>457700</v>
      </c>
      <c r="I25" s="559">
        <f>D25-H25</f>
        <v>0</v>
      </c>
      <c r="J25" s="559">
        <v>457700</v>
      </c>
      <c r="K25" s="559">
        <f>H25-J25</f>
        <v>0</v>
      </c>
      <c r="L25" s="560">
        <f>J25*100/H25</f>
        <v>100</v>
      </c>
      <c r="M25" s="659"/>
    </row>
    <row r="26" spans="1:15" ht="56.25" x14ac:dyDescent="0.2">
      <c r="A26" s="556"/>
      <c r="B26" s="561" t="s">
        <v>503</v>
      </c>
      <c r="C26" s="553">
        <f t="shared" si="2"/>
        <v>2000000</v>
      </c>
      <c r="D26" s="554">
        <v>2000000</v>
      </c>
      <c r="E26" s="555" t="s">
        <v>362</v>
      </c>
      <c r="F26" s="290" t="s">
        <v>640</v>
      </c>
      <c r="G26" s="607" t="s">
        <v>641</v>
      </c>
      <c r="H26" s="559">
        <v>1980000</v>
      </c>
      <c r="I26" s="559">
        <f>D26-H26</f>
        <v>20000</v>
      </c>
      <c r="J26" s="552"/>
      <c r="K26" s="559">
        <f>H26-J26</f>
        <v>1980000</v>
      </c>
      <c r="L26" s="562"/>
      <c r="M26" s="659"/>
    </row>
    <row r="27" spans="1:15" ht="56.25" x14ac:dyDescent="0.2">
      <c r="A27" s="556"/>
      <c r="B27" s="552" t="s">
        <v>504</v>
      </c>
      <c r="C27" s="553">
        <f t="shared" si="2"/>
        <v>1200000</v>
      </c>
      <c r="D27" s="554">
        <v>1200000</v>
      </c>
      <c r="E27" s="555" t="s">
        <v>362</v>
      </c>
      <c r="F27" s="290" t="s">
        <v>621</v>
      </c>
      <c r="G27" s="598" t="s">
        <v>624</v>
      </c>
      <c r="H27" s="554">
        <v>1200000</v>
      </c>
      <c r="I27" s="559">
        <f t="shared" ref="I27:I31" si="4">D27-H27</f>
        <v>0</v>
      </c>
      <c r="J27" s="552"/>
      <c r="K27" s="559">
        <f t="shared" ref="K27:K28" si="5">H27-J27</f>
        <v>1200000</v>
      </c>
      <c r="L27" s="562"/>
      <c r="M27" s="659"/>
    </row>
    <row r="28" spans="1:15" ht="63" x14ac:dyDescent="0.2">
      <c r="A28" s="556"/>
      <c r="B28" s="552" t="s">
        <v>505</v>
      </c>
      <c r="C28" s="553">
        <f t="shared" si="2"/>
        <v>3055500</v>
      </c>
      <c r="D28" s="554">
        <v>3055500</v>
      </c>
      <c r="E28" s="555" t="s">
        <v>362</v>
      </c>
      <c r="F28" s="290" t="s">
        <v>621</v>
      </c>
      <c r="G28" s="598" t="s">
        <v>625</v>
      </c>
      <c r="H28" s="554">
        <v>3046770</v>
      </c>
      <c r="I28" s="559">
        <f t="shared" si="4"/>
        <v>8730</v>
      </c>
      <c r="J28" s="552"/>
      <c r="K28" s="559">
        <f t="shared" si="5"/>
        <v>3046770</v>
      </c>
      <c r="L28" s="562"/>
      <c r="M28" s="659"/>
    </row>
    <row r="29" spans="1:15" ht="24.75" customHeight="1" x14ac:dyDescent="0.2">
      <c r="A29" s="556"/>
      <c r="B29" s="552" t="s">
        <v>628</v>
      </c>
      <c r="C29" s="553">
        <f>D29</f>
        <v>713400</v>
      </c>
      <c r="D29" s="554">
        <v>713400</v>
      </c>
      <c r="E29" s="567" t="s">
        <v>364</v>
      </c>
      <c r="F29" s="552"/>
      <c r="G29" s="552"/>
      <c r="H29" s="552"/>
      <c r="I29" s="559">
        <f t="shared" si="4"/>
        <v>713400</v>
      </c>
      <c r="J29" s="552"/>
      <c r="K29" s="553">
        <f>D29</f>
        <v>713400</v>
      </c>
      <c r="L29" s="562"/>
      <c r="M29" s="658" t="s">
        <v>99</v>
      </c>
    </row>
    <row r="30" spans="1:15" x14ac:dyDescent="0.2">
      <c r="A30" s="556"/>
      <c r="B30" s="552" t="s">
        <v>627</v>
      </c>
      <c r="C30" s="553">
        <f>D30</f>
        <v>216000</v>
      </c>
      <c r="D30" s="554">
        <v>216000</v>
      </c>
      <c r="E30" s="567" t="s">
        <v>364</v>
      </c>
      <c r="F30" s="552"/>
      <c r="G30" s="552"/>
      <c r="H30" s="552"/>
      <c r="I30" s="559">
        <f t="shared" si="4"/>
        <v>216000</v>
      </c>
      <c r="J30" s="552"/>
      <c r="K30" s="553">
        <f>D30</f>
        <v>216000</v>
      </c>
      <c r="L30" s="562"/>
      <c r="M30" s="659"/>
    </row>
    <row r="31" spans="1:15" x14ac:dyDescent="0.2">
      <c r="A31" s="556"/>
      <c r="B31" s="552" t="s">
        <v>626</v>
      </c>
      <c r="C31" s="553">
        <f>D31</f>
        <v>777000</v>
      </c>
      <c r="D31" s="554">
        <v>777000</v>
      </c>
      <c r="E31" s="567" t="s">
        <v>364</v>
      </c>
      <c r="F31" s="552"/>
      <c r="G31" s="552"/>
      <c r="H31" s="552"/>
      <c r="I31" s="559">
        <f t="shared" si="4"/>
        <v>777000</v>
      </c>
      <c r="J31" s="552"/>
      <c r="K31" s="553">
        <f>D31</f>
        <v>777000</v>
      </c>
      <c r="L31" s="562"/>
      <c r="M31" s="662"/>
    </row>
    <row r="32" spans="1:15" ht="23.25" customHeight="1" x14ac:dyDescent="0.2">
      <c r="A32" s="655" t="s">
        <v>102</v>
      </c>
      <c r="B32" s="656"/>
      <c r="C32" s="488">
        <f>C7+C13+C23</f>
        <v>84723000</v>
      </c>
      <c r="D32" s="488">
        <f>D7+D13+D23</f>
        <v>84723000</v>
      </c>
      <c r="E32" s="488"/>
      <c r="F32" s="488"/>
      <c r="G32" s="488"/>
      <c r="H32" s="353">
        <f t="shared" ref="H32:K32" si="6">H7+H13+H23</f>
        <v>35348257.799999997</v>
      </c>
      <c r="I32" s="353">
        <f t="shared" si="6"/>
        <v>2074742.2000000002</v>
      </c>
      <c r="J32" s="353">
        <f t="shared" si="6"/>
        <v>20049802.699999999</v>
      </c>
      <c r="K32" s="353">
        <f t="shared" si="6"/>
        <v>64304855.100000001</v>
      </c>
      <c r="L32" s="353">
        <f>J32*100/C32</f>
        <v>23.665123638209224</v>
      </c>
      <c r="M32" s="563"/>
    </row>
    <row r="34" spans="3:10" x14ac:dyDescent="0.2">
      <c r="C34" s="570"/>
      <c r="D34" s="571">
        <f>D32-I32</f>
        <v>82648257.799999997</v>
      </c>
      <c r="E34" s="571"/>
      <c r="F34" s="571"/>
      <c r="G34" s="571"/>
      <c r="H34" s="571"/>
      <c r="I34" s="571"/>
      <c r="J34" s="571"/>
    </row>
    <row r="35" spans="3:10" x14ac:dyDescent="0.2">
      <c r="C35" s="570"/>
      <c r="D35" s="571"/>
      <c r="E35" s="571"/>
      <c r="F35" s="571"/>
      <c r="G35" s="571"/>
      <c r="H35" s="571"/>
      <c r="I35" s="571"/>
      <c r="J35" s="572">
        <f>J32+K32</f>
        <v>84354657.799999997</v>
      </c>
    </row>
    <row r="36" spans="3:10" x14ac:dyDescent="0.2">
      <c r="C36" s="570"/>
      <c r="D36" s="571"/>
      <c r="E36" s="571"/>
      <c r="F36" s="571"/>
      <c r="G36" s="571"/>
      <c r="H36" s="571"/>
      <c r="I36" s="572"/>
      <c r="J36" s="571"/>
    </row>
    <row r="37" spans="3:10" x14ac:dyDescent="0.2">
      <c r="C37" s="573">
        <f>C32-D29-D30-D31</f>
        <v>83016600</v>
      </c>
      <c r="D37" s="571"/>
      <c r="E37" s="571"/>
      <c r="F37" s="571"/>
      <c r="G37" s="571"/>
      <c r="H37" s="571"/>
      <c r="I37" s="571"/>
      <c r="J37" s="571"/>
    </row>
    <row r="38" spans="3:10" x14ac:dyDescent="0.2">
      <c r="J38" s="545"/>
    </row>
    <row r="39" spans="3:10" x14ac:dyDescent="0.2">
      <c r="H39" s="545"/>
    </row>
  </sheetData>
  <mergeCells count="32">
    <mergeCell ref="A32:B32"/>
    <mergeCell ref="A2:M2"/>
    <mergeCell ref="A7:B7"/>
    <mergeCell ref="A8:B8"/>
    <mergeCell ref="A9:B9"/>
    <mergeCell ref="A11:B11"/>
    <mergeCell ref="A12:B12"/>
    <mergeCell ref="A3:M3"/>
    <mergeCell ref="M24:M28"/>
    <mergeCell ref="E16:E18"/>
    <mergeCell ref="B16:B18"/>
    <mergeCell ref="C16:C18"/>
    <mergeCell ref="D16:D18"/>
    <mergeCell ref="M20:M21"/>
    <mergeCell ref="A13:B13"/>
    <mergeCell ref="M29:M31"/>
    <mergeCell ref="A1:M1"/>
    <mergeCell ref="A5:A6"/>
    <mergeCell ref="B5:B6"/>
    <mergeCell ref="C5:D5"/>
    <mergeCell ref="E5:I5"/>
    <mergeCell ref="J5:L5"/>
    <mergeCell ref="M5:M6"/>
    <mergeCell ref="J4:M4"/>
    <mergeCell ref="M15:M19"/>
    <mergeCell ref="A23:B23"/>
    <mergeCell ref="L16:L18"/>
    <mergeCell ref="A14:B14"/>
    <mergeCell ref="A16:A18"/>
    <mergeCell ref="I16:I18"/>
    <mergeCell ref="J16:J18"/>
    <mergeCell ref="K16:K18"/>
  </mergeCells>
  <pageMargins left="0.19685039370078741" right="0.11811023622047245" top="0.19685039370078741" bottom="0.19685039370078741" header="0.11811023622047245" footer="0.11811023622047245"/>
  <pageSetup paperSize="9" scale="78" fitToWidth="0" fitToHeight="0" orientation="landscape" r:id="rId1"/>
  <headerFooter>
    <oddHeader>&amp;R&amp;"TH SarabunPSK,ธรรมดา"&amp;A</oddHeader>
    <oddFooter>&amp;C&amp;"TH SarabunPSK,ธรรมดา"&amp;Z&amp;F&amp;R&amp;"TH SarabunPSK,ธรรมดา"หน้าที่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46"/>
  <sheetViews>
    <sheetView tabSelected="1" view="pageBreakPreview" zoomScale="80" zoomScaleNormal="80" zoomScaleSheetLayoutView="80" zoomScalePageLayoutView="90" workbookViewId="0">
      <pane xSplit="9" ySplit="7" topLeftCell="J165" activePane="bottomRight" state="frozen"/>
      <selection pane="topRight" activeCell="J1" sqref="J1"/>
      <selection pane="bottomLeft" activeCell="A8" sqref="A8"/>
      <selection pane="bottomRight" activeCell="Q145" sqref="Q145:Q146"/>
    </sheetView>
  </sheetViews>
  <sheetFormatPr defaultRowHeight="21" x14ac:dyDescent="0.2"/>
  <cols>
    <col min="1" max="1" width="1.25" style="3" customWidth="1"/>
    <col min="2" max="2" width="1.125" style="3" customWidth="1"/>
    <col min="3" max="3" width="1.625" style="3" customWidth="1"/>
    <col min="4" max="4" width="39.625" style="3" customWidth="1"/>
    <col min="5" max="5" width="14.75" style="3" bestFit="1" customWidth="1"/>
    <col min="6" max="6" width="14.75" style="34" bestFit="1" customWidth="1"/>
    <col min="7" max="7" width="13.75" style="34" bestFit="1" customWidth="1"/>
    <col min="8" max="8" width="9.75" style="456" customWidth="1"/>
    <col min="9" max="9" width="10.125" style="457" customWidth="1"/>
    <col min="10" max="10" width="9.25" style="456" customWidth="1"/>
    <col min="11" max="11" width="15.875" style="34" bestFit="1" customWidth="1"/>
    <col min="12" max="12" width="13.125" style="34" bestFit="1" customWidth="1"/>
    <col min="13" max="13" width="14.75" style="34" bestFit="1" customWidth="1"/>
    <col min="14" max="14" width="13.75" style="34" bestFit="1" customWidth="1"/>
    <col min="15" max="15" width="7.75" style="34" customWidth="1"/>
    <col min="16" max="16" width="13" style="34" bestFit="1" customWidth="1"/>
    <col min="17" max="17" width="9.875" style="34" customWidth="1"/>
    <col min="18" max="18" width="14.375" style="3" bestFit="1" customWidth="1"/>
    <col min="19" max="20" width="13.75" style="3" bestFit="1" customWidth="1"/>
    <col min="21" max="16384" width="9" style="3"/>
  </cols>
  <sheetData>
    <row r="1" spans="1:21" x14ac:dyDescent="0.2">
      <c r="A1" s="673" t="s">
        <v>168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</row>
    <row r="2" spans="1:21" x14ac:dyDescent="0.2">
      <c r="A2" s="673" t="s">
        <v>169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</row>
    <row r="3" spans="1:21" x14ac:dyDescent="0.2">
      <c r="A3" s="673" t="s">
        <v>271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458">
        <f>185720000-4635053.15</f>
        <v>181084946.84999999</v>
      </c>
    </row>
    <row r="4" spans="1:21" x14ac:dyDescent="0.2">
      <c r="A4" s="4"/>
      <c r="B4" s="4"/>
      <c r="C4" s="4"/>
      <c r="D4" s="4"/>
      <c r="E4" s="4"/>
      <c r="F4" s="322"/>
      <c r="G4" s="68"/>
      <c r="H4" s="224"/>
      <c r="I4" s="232"/>
      <c r="J4" s="224"/>
      <c r="K4" s="68"/>
      <c r="L4" s="68"/>
      <c r="M4" s="68"/>
      <c r="N4" s="672" t="s">
        <v>638</v>
      </c>
      <c r="O4" s="672"/>
      <c r="P4" s="672"/>
      <c r="Q4" s="672"/>
    </row>
    <row r="5" spans="1:21" s="5" customFormat="1" ht="17.25" customHeight="1" x14ac:dyDescent="0.2">
      <c r="A5" s="686" t="s">
        <v>0</v>
      </c>
      <c r="B5" s="687"/>
      <c r="C5" s="687"/>
      <c r="D5" s="688"/>
      <c r="E5" s="694" t="s">
        <v>1</v>
      </c>
      <c r="F5" s="695"/>
      <c r="G5" s="696"/>
      <c r="H5" s="631" t="s">
        <v>183</v>
      </c>
      <c r="I5" s="631"/>
      <c r="J5" s="631"/>
      <c r="K5" s="631"/>
      <c r="L5" s="631"/>
      <c r="M5" s="631" t="s">
        <v>184</v>
      </c>
      <c r="N5" s="631"/>
      <c r="O5" s="631"/>
      <c r="P5" s="634" t="s">
        <v>282</v>
      </c>
      <c r="Q5" s="678" t="s">
        <v>2</v>
      </c>
    </row>
    <row r="6" spans="1:21" s="5" customFormat="1" ht="42" x14ac:dyDescent="0.2">
      <c r="A6" s="689"/>
      <c r="B6" s="690"/>
      <c r="C6" s="690"/>
      <c r="D6" s="691"/>
      <c r="E6" s="321" t="s">
        <v>3</v>
      </c>
      <c r="F6" s="321" t="s">
        <v>4</v>
      </c>
      <c r="G6" s="321" t="s">
        <v>5</v>
      </c>
      <c r="H6" s="6" t="s">
        <v>179</v>
      </c>
      <c r="I6" s="323" t="s">
        <v>180</v>
      </c>
      <c r="J6" s="6" t="s">
        <v>252</v>
      </c>
      <c r="K6" s="6" t="s">
        <v>181</v>
      </c>
      <c r="L6" s="6" t="s">
        <v>182</v>
      </c>
      <c r="M6" s="6" t="s">
        <v>185</v>
      </c>
      <c r="N6" s="6" t="s">
        <v>186</v>
      </c>
      <c r="O6" s="6" t="s">
        <v>187</v>
      </c>
      <c r="P6" s="635"/>
      <c r="Q6" s="679"/>
      <c r="R6" s="5" t="s">
        <v>4</v>
      </c>
      <c r="T6" s="5" t="s">
        <v>460</v>
      </c>
    </row>
    <row r="7" spans="1:21" s="320" customFormat="1" ht="25.5" customHeight="1" x14ac:dyDescent="0.2">
      <c r="A7" s="680" t="s">
        <v>6</v>
      </c>
      <c r="B7" s="681"/>
      <c r="C7" s="681"/>
      <c r="D7" s="682"/>
      <c r="E7" s="54">
        <f>F7+G7</f>
        <v>185832900</v>
      </c>
      <c r="F7" s="54">
        <f>F8+F113+F139+F202+F203+F220</f>
        <v>110869600</v>
      </c>
      <c r="G7" s="54">
        <f>G8+G113+G139+G202+G203+G220</f>
        <v>74963300</v>
      </c>
      <c r="H7" s="7"/>
      <c r="I7" s="7"/>
      <c r="J7" s="7"/>
      <c r="K7" s="54">
        <f>K8+K113+K139+K202+K203+K220</f>
        <v>102825774.91000001</v>
      </c>
      <c r="L7" s="54">
        <f>L8+L113+L139+L202+L203+L220</f>
        <v>180863.09000000014</v>
      </c>
      <c r="M7" s="54">
        <f>M8+M113+M139+M202+M203+M220</f>
        <v>130315099.95999998</v>
      </c>
      <c r="N7" s="54">
        <f>N8+N113+N203+N220+N139+N202</f>
        <v>54469995.799999997</v>
      </c>
      <c r="O7" s="54">
        <f>M7*100/E7</f>
        <v>70.124880987166421</v>
      </c>
      <c r="P7" s="54">
        <f>P8+P113+P202+P203+P139</f>
        <v>866941.15</v>
      </c>
      <c r="Q7" s="7"/>
      <c r="R7" s="324">
        <f>M50+M60+M76+M111+M127+M133+M141+M143+M205+M206+M207+M210+M211+M96+M220</f>
        <v>87415651.75999999</v>
      </c>
      <c r="S7" s="325">
        <f>R7*100/F7</f>
        <v>78.84546508691291</v>
      </c>
      <c r="T7" s="324">
        <f>K80+K84+K93+K94+K112+K145+R7</f>
        <v>98104820.75999999</v>
      </c>
      <c r="U7" s="325">
        <f>T7*100/F7</f>
        <v>88.486673317122097</v>
      </c>
    </row>
    <row r="8" spans="1:21" s="320" customFormat="1" ht="46.5" customHeight="1" x14ac:dyDescent="0.35">
      <c r="A8" s="667" t="s">
        <v>7</v>
      </c>
      <c r="B8" s="667"/>
      <c r="C8" s="667"/>
      <c r="D8" s="667"/>
      <c r="E8" s="55">
        <f>F8+G8</f>
        <v>121995185.44</v>
      </c>
      <c r="F8" s="55">
        <f>F9+F41+F44+F71+F76+F96+F103</f>
        <v>87364847.439999998</v>
      </c>
      <c r="G8" s="8">
        <f>G9+G41+G44+G71+G76+G96+G103</f>
        <v>34630338</v>
      </c>
      <c r="H8" s="326"/>
      <c r="I8" s="327"/>
      <c r="J8" s="326"/>
      <c r="K8" s="55">
        <f>K9+K41+K44+K71+K76+K96+K103</f>
        <v>91280589.010000005</v>
      </c>
      <c r="L8" s="8">
        <f>L9+L41+L44+L71+L76+L96+L103</f>
        <v>172830.43000000017</v>
      </c>
      <c r="M8" s="55">
        <f>M9+M41+M44+M71+M76+M96+M103</f>
        <v>96699201.459999993</v>
      </c>
      <c r="N8" s="55">
        <f>N9+N41+N44+N71+N76+N96+N103</f>
        <v>24308977.399999999</v>
      </c>
      <c r="O8" s="328">
        <f>M8*100/E8</f>
        <v>79.264768614626078</v>
      </c>
      <c r="P8" s="55">
        <f>P9+P41+P44+P71+P76+P96+P103</f>
        <v>814176.15</v>
      </c>
      <c r="Q8" s="8"/>
      <c r="R8" s="329" t="s">
        <v>5</v>
      </c>
    </row>
    <row r="9" spans="1:21" s="320" customFormat="1" ht="25.5" customHeight="1" x14ac:dyDescent="0.2">
      <c r="A9" s="9"/>
      <c r="B9" s="683" t="s">
        <v>112</v>
      </c>
      <c r="C9" s="683"/>
      <c r="D9" s="684"/>
      <c r="E9" s="333">
        <f>F9+G9</f>
        <v>8095760</v>
      </c>
      <c r="F9" s="333">
        <f>F10+F13+F35+F37+F39</f>
        <v>0</v>
      </c>
      <c r="G9" s="330">
        <f>G10+G13+G35+G37+G39</f>
        <v>8095760</v>
      </c>
      <c r="H9" s="331"/>
      <c r="I9" s="332"/>
      <c r="J9" s="331"/>
      <c r="K9" s="330">
        <f>K10+K13+K35+K37+K39</f>
        <v>0</v>
      </c>
      <c r="L9" s="330">
        <f>L10+L13+L35+L37+L39</f>
        <v>0</v>
      </c>
      <c r="M9" s="333">
        <f>M10+M13+M35+M37+M39</f>
        <v>7846080</v>
      </c>
      <c r="N9" s="333">
        <f>N10+N13+N35+N37+N39</f>
        <v>241705</v>
      </c>
      <c r="O9" s="333">
        <f t="shared" ref="O9:O14" si="0">M9*100/G9</f>
        <v>96.915916479737547</v>
      </c>
      <c r="P9" s="333">
        <f>P10+P13+P35+P37+P39</f>
        <v>7975</v>
      </c>
      <c r="Q9" s="10"/>
      <c r="R9" s="324">
        <f>M9+M41+M46+M47+M49+M53+M55+M67+M68+M71+M105+M108+M110+M114+M117+M126+M128+M132+M134+M135+M136+M148+M153+M174+M202+M213+M215+M217</f>
        <v>42899448.200000003</v>
      </c>
      <c r="S9" s="325">
        <f>R9*100/G7</f>
        <v>57.227267476218373</v>
      </c>
    </row>
    <row r="10" spans="1:21" s="320" customFormat="1" x14ac:dyDescent="0.2">
      <c r="A10" s="685" t="s">
        <v>113</v>
      </c>
      <c r="B10" s="668"/>
      <c r="C10" s="668"/>
      <c r="D10" s="669"/>
      <c r="E10" s="66">
        <f>F10+G10</f>
        <v>1012740</v>
      </c>
      <c r="F10" s="66">
        <f>F11+F12</f>
        <v>0</v>
      </c>
      <c r="G10" s="11">
        <f>G11+G12</f>
        <v>1012740</v>
      </c>
      <c r="H10" s="334"/>
      <c r="I10" s="335"/>
      <c r="J10" s="334"/>
      <c r="K10" s="11">
        <f t="shared" ref="K10:M10" si="1">K11+K12</f>
        <v>0</v>
      </c>
      <c r="L10" s="11">
        <f t="shared" si="1"/>
        <v>0</v>
      </c>
      <c r="M10" s="66">
        <f t="shared" si="1"/>
        <v>1012740</v>
      </c>
      <c r="N10" s="66"/>
      <c r="O10" s="66">
        <v>100</v>
      </c>
      <c r="P10" s="66"/>
      <c r="Q10" s="10"/>
    </row>
    <row r="11" spans="1:21" s="320" customFormat="1" ht="42" x14ac:dyDescent="0.2">
      <c r="A11" s="12"/>
      <c r="B11" s="13"/>
      <c r="C11" s="316"/>
      <c r="D11" s="293" t="s">
        <v>450</v>
      </c>
      <c r="E11" s="368">
        <f>G11</f>
        <v>192000</v>
      </c>
      <c r="F11" s="368">
        <v>0</v>
      </c>
      <c r="G11" s="15">
        <f>220000-28000</f>
        <v>192000</v>
      </c>
      <c r="H11" s="336" t="s">
        <v>388</v>
      </c>
      <c r="I11" s="337"/>
      <c r="J11" s="338"/>
      <c r="K11" s="15"/>
      <c r="L11" s="15"/>
      <c r="M11" s="58">
        <f>135000+52000+5000</f>
        <v>192000</v>
      </c>
      <c r="N11" s="58">
        <f>G11-M11-P11</f>
        <v>0</v>
      </c>
      <c r="O11" s="58">
        <v>100</v>
      </c>
      <c r="P11" s="58">
        <v>0</v>
      </c>
      <c r="Q11" s="16" t="s">
        <v>8</v>
      </c>
      <c r="R11" s="324">
        <f>E11-L11-M11-N11-P11</f>
        <v>0</v>
      </c>
    </row>
    <row r="12" spans="1:21" s="320" customFormat="1" ht="42" x14ac:dyDescent="0.2">
      <c r="A12" s="17"/>
      <c r="B12" s="18"/>
      <c r="C12" s="18"/>
      <c r="D12" s="19" t="s">
        <v>451</v>
      </c>
      <c r="E12" s="368">
        <f>G12</f>
        <v>820740</v>
      </c>
      <c r="F12" s="67">
        <v>0</v>
      </c>
      <c r="G12" s="20">
        <f>853700-32960</f>
        <v>820740</v>
      </c>
      <c r="H12" s="336" t="s">
        <v>349</v>
      </c>
      <c r="I12" s="339"/>
      <c r="J12" s="340"/>
      <c r="K12" s="20"/>
      <c r="L12" s="20"/>
      <c r="M12" s="59">
        <f>598240+42500+180000</f>
        <v>820740</v>
      </c>
      <c r="N12" s="58">
        <f>G12-M12-P12</f>
        <v>0</v>
      </c>
      <c r="O12" s="58">
        <v>100</v>
      </c>
      <c r="P12" s="58">
        <f>32960-32960</f>
        <v>0</v>
      </c>
      <c r="Q12" s="16" t="s">
        <v>9</v>
      </c>
      <c r="R12" s="324">
        <f t="shared" ref="R12:R75" si="2">E12-L12-M12-N12-P12</f>
        <v>0</v>
      </c>
    </row>
    <row r="13" spans="1:21" s="320" customFormat="1" ht="23.25" customHeight="1" x14ac:dyDescent="0.2">
      <c r="A13" s="12"/>
      <c r="B13" s="13"/>
      <c r="C13" s="676" t="s">
        <v>114</v>
      </c>
      <c r="D13" s="677"/>
      <c r="E13" s="66">
        <f>F13+G13</f>
        <v>6753020</v>
      </c>
      <c r="F13" s="66">
        <f>SUM(F14:F34)</f>
        <v>0</v>
      </c>
      <c r="G13" s="11">
        <f>G14+G15+G16+G17+G18+G19+G21+G22+G23+G24+G25+G26+G27+G28+G29+G30+G31+G32+G33+G34</f>
        <v>6753020</v>
      </c>
      <c r="H13" s="334"/>
      <c r="I13" s="335"/>
      <c r="J13" s="334"/>
      <c r="K13" s="11">
        <f>SUM(K14:K34)</f>
        <v>0</v>
      </c>
      <c r="L13" s="11">
        <f>SUM(L14:L34)</f>
        <v>0</v>
      </c>
      <c r="M13" s="66">
        <f>M14+M15+M16+M17+M18+M19+M20+M28+M30+M29+M31+M32+M33+M34</f>
        <v>6503340</v>
      </c>
      <c r="N13" s="66">
        <f>N14+N15+N16+N17+N18+N19+N20+N28+N29+N30+N31+N32+N33+N34</f>
        <v>241705</v>
      </c>
      <c r="O13" s="66">
        <f>M13*100/G13</f>
        <v>96.302691240363572</v>
      </c>
      <c r="P13" s="66">
        <f>P14+P15+P16+P17+P18+P19+P21+P22+P23+P24+P25+P26+P27+P28+P29+P30+P31+P32+P33+P34</f>
        <v>7975</v>
      </c>
      <c r="Q13" s="21"/>
      <c r="R13" s="324">
        <f t="shared" si="2"/>
        <v>0</v>
      </c>
    </row>
    <row r="14" spans="1:21" s="320" customFormat="1" ht="31.5" x14ac:dyDescent="0.2">
      <c r="A14" s="12"/>
      <c r="B14" s="13"/>
      <c r="C14" s="13"/>
      <c r="D14" s="293" t="s">
        <v>115</v>
      </c>
      <c r="E14" s="368">
        <f>G14</f>
        <v>953800</v>
      </c>
      <c r="F14" s="368">
        <v>0</v>
      </c>
      <c r="G14" s="15">
        <v>953800</v>
      </c>
      <c r="H14" s="336" t="s">
        <v>388</v>
      </c>
      <c r="I14" s="337"/>
      <c r="J14" s="338"/>
      <c r="K14" s="15"/>
      <c r="L14" s="15"/>
      <c r="M14" s="58">
        <v>953800</v>
      </c>
      <c r="N14" s="58">
        <f>G14-M14</f>
        <v>0</v>
      </c>
      <c r="O14" s="58">
        <f t="shared" si="0"/>
        <v>100</v>
      </c>
      <c r="P14" s="58"/>
      <c r="Q14" s="319" t="s">
        <v>8</v>
      </c>
      <c r="R14" s="324">
        <f t="shared" si="2"/>
        <v>0</v>
      </c>
    </row>
    <row r="15" spans="1:21" s="320" customFormat="1" ht="63" x14ac:dyDescent="0.2">
      <c r="A15" s="9"/>
      <c r="B15" s="22"/>
      <c r="C15" s="22"/>
      <c r="D15" s="341" t="s">
        <v>258</v>
      </c>
      <c r="E15" s="368">
        <f>G15</f>
        <v>50000</v>
      </c>
      <c r="F15" s="368">
        <v>0</v>
      </c>
      <c r="G15" s="15">
        <v>50000</v>
      </c>
      <c r="H15" s="342" t="s">
        <v>388</v>
      </c>
      <c r="I15" s="337"/>
      <c r="J15" s="338"/>
      <c r="K15" s="15"/>
      <c r="L15" s="15"/>
      <c r="M15" s="58">
        <f>23600+300+4000+7100+15000</f>
        <v>50000</v>
      </c>
      <c r="N15" s="58">
        <f t="shared" ref="N15:N33" si="3">G15-M15</f>
        <v>0</v>
      </c>
      <c r="O15" s="58">
        <f t="shared" ref="O15:O33" si="4">M15*100/G15</f>
        <v>100</v>
      </c>
      <c r="P15" s="58"/>
      <c r="Q15" s="16" t="s">
        <v>10</v>
      </c>
      <c r="R15" s="324">
        <f t="shared" si="2"/>
        <v>0</v>
      </c>
    </row>
    <row r="16" spans="1:21" s="320" customFormat="1" x14ac:dyDescent="0.2">
      <c r="A16" s="12"/>
      <c r="B16" s="13"/>
      <c r="C16" s="13"/>
      <c r="D16" s="293" t="s">
        <v>116</v>
      </c>
      <c r="E16" s="368">
        <f t="shared" ref="E16:E34" si="5">G16</f>
        <v>944660</v>
      </c>
      <c r="F16" s="368">
        <v>0</v>
      </c>
      <c r="G16" s="15">
        <f>960000-15340</f>
        <v>944660</v>
      </c>
      <c r="H16" s="336" t="s">
        <v>388</v>
      </c>
      <c r="I16" s="337"/>
      <c r="J16" s="338"/>
      <c r="K16" s="15"/>
      <c r="L16" s="15"/>
      <c r="M16" s="58">
        <f>285000+285000+285000+19660+35000+35000</f>
        <v>944660</v>
      </c>
      <c r="N16" s="58">
        <f>G16-M16-P16</f>
        <v>0</v>
      </c>
      <c r="O16" s="58">
        <v>100</v>
      </c>
      <c r="P16" s="58"/>
      <c r="Q16" s="16" t="s">
        <v>11</v>
      </c>
      <c r="R16" s="324">
        <f t="shared" si="2"/>
        <v>0</v>
      </c>
    </row>
    <row r="17" spans="1:18" s="320" customFormat="1" x14ac:dyDescent="0.2">
      <c r="A17" s="9"/>
      <c r="B17" s="22"/>
      <c r="C17" s="22"/>
      <c r="D17" s="341" t="s">
        <v>117</v>
      </c>
      <c r="E17" s="368">
        <f t="shared" si="5"/>
        <v>220800</v>
      </c>
      <c r="F17" s="368">
        <v>0</v>
      </c>
      <c r="G17" s="15">
        <v>220800</v>
      </c>
      <c r="H17" s="336" t="s">
        <v>388</v>
      </c>
      <c r="I17" s="337"/>
      <c r="J17" s="338"/>
      <c r="K17" s="15"/>
      <c r="L17" s="15"/>
      <c r="M17" s="58">
        <f>53600+53600+53600+20000+20000+20000</f>
        <v>220800</v>
      </c>
      <c r="N17" s="58">
        <f>G17-M17</f>
        <v>0</v>
      </c>
      <c r="O17" s="58">
        <f t="shared" si="4"/>
        <v>100</v>
      </c>
      <c r="P17" s="58"/>
      <c r="Q17" s="16" t="s">
        <v>11</v>
      </c>
      <c r="R17" s="324">
        <f t="shared" si="2"/>
        <v>0</v>
      </c>
    </row>
    <row r="18" spans="1:18" s="320" customFormat="1" ht="37.5" x14ac:dyDescent="0.2">
      <c r="A18" s="12"/>
      <c r="B18" s="13"/>
      <c r="C18" s="13"/>
      <c r="D18" s="293" t="s">
        <v>118</v>
      </c>
      <c r="E18" s="368">
        <f t="shared" si="5"/>
        <v>500000</v>
      </c>
      <c r="F18" s="368">
        <v>0</v>
      </c>
      <c r="G18" s="15">
        <v>500000</v>
      </c>
      <c r="H18" s="336" t="s">
        <v>349</v>
      </c>
      <c r="I18" s="337"/>
      <c r="J18" s="338"/>
      <c r="K18" s="15"/>
      <c r="L18" s="15"/>
      <c r="M18" s="58">
        <f>66960+25000+25080+65520+86000+12500+25440</f>
        <v>306500</v>
      </c>
      <c r="N18" s="58">
        <f t="shared" si="3"/>
        <v>193500</v>
      </c>
      <c r="O18" s="58">
        <f>M18*100/G18</f>
        <v>61.3</v>
      </c>
      <c r="P18" s="58"/>
      <c r="Q18" s="16" t="s">
        <v>11</v>
      </c>
      <c r="R18" s="324">
        <f t="shared" si="2"/>
        <v>0</v>
      </c>
    </row>
    <row r="19" spans="1:18" s="320" customFormat="1" ht="42" x14ac:dyDescent="0.2">
      <c r="A19" s="9"/>
      <c r="B19" s="22"/>
      <c r="C19" s="22"/>
      <c r="D19" s="341" t="s">
        <v>119</v>
      </c>
      <c r="E19" s="368">
        <f t="shared" si="5"/>
        <v>500000</v>
      </c>
      <c r="F19" s="525">
        <v>0</v>
      </c>
      <c r="G19" s="343">
        <v>500000</v>
      </c>
      <c r="H19" s="336" t="s">
        <v>388</v>
      </c>
      <c r="I19" s="344"/>
      <c r="J19" s="345"/>
      <c r="K19" s="343"/>
      <c r="L19" s="343"/>
      <c r="M19" s="61">
        <f>86200+39800+12000+18000+37500+18000+152500+120000+16000</f>
        <v>500000</v>
      </c>
      <c r="N19" s="58">
        <f t="shared" si="3"/>
        <v>0</v>
      </c>
      <c r="O19" s="58">
        <f t="shared" si="4"/>
        <v>100</v>
      </c>
      <c r="P19" s="58"/>
      <c r="Q19" s="21" t="s">
        <v>11</v>
      </c>
      <c r="R19" s="324">
        <f t="shared" si="2"/>
        <v>0</v>
      </c>
    </row>
    <row r="20" spans="1:18" s="320" customFormat="1" ht="37.5" x14ac:dyDescent="0.2">
      <c r="A20" s="12"/>
      <c r="B20" s="13"/>
      <c r="C20" s="13"/>
      <c r="D20" s="111" t="s">
        <v>120</v>
      </c>
      <c r="E20" s="368">
        <f t="shared" si="5"/>
        <v>681500</v>
      </c>
      <c r="F20" s="67">
        <v>0</v>
      </c>
      <c r="G20" s="23">
        <f>SUM(G21:G27)</f>
        <v>681500</v>
      </c>
      <c r="H20" s="336" t="s">
        <v>349</v>
      </c>
      <c r="I20" s="346"/>
      <c r="J20" s="347"/>
      <c r="K20" s="23"/>
      <c r="L20" s="23"/>
      <c r="M20" s="67">
        <f>M21+M22+M23+M24+M25+M26+M27</f>
        <v>650295</v>
      </c>
      <c r="N20" s="58">
        <f>G20-M20-P20</f>
        <v>31205</v>
      </c>
      <c r="O20" s="58">
        <f t="shared" si="4"/>
        <v>95.42112986060161</v>
      </c>
      <c r="P20" s="58">
        <f>SUM(P21:P27)</f>
        <v>0</v>
      </c>
      <c r="Q20" s="16" t="s">
        <v>11</v>
      </c>
      <c r="R20" s="324">
        <f t="shared" si="2"/>
        <v>0</v>
      </c>
    </row>
    <row r="21" spans="1:18" s="320" customFormat="1" ht="37.5" x14ac:dyDescent="0.2">
      <c r="A21" s="17"/>
      <c r="B21" s="18"/>
      <c r="C21" s="18"/>
      <c r="D21" s="348" t="s">
        <v>299</v>
      </c>
      <c r="E21" s="368">
        <f t="shared" si="5"/>
        <v>280000</v>
      </c>
      <c r="F21" s="368"/>
      <c r="G21" s="15">
        <v>280000</v>
      </c>
      <c r="H21" s="336" t="s">
        <v>349</v>
      </c>
      <c r="I21" s="337"/>
      <c r="J21" s="338"/>
      <c r="K21" s="15"/>
      <c r="L21" s="15"/>
      <c r="M21" s="58">
        <f>30000+7000+40000+40000+40000+15000+3000+15000+10000+15000+8150+10000+6850+21340+8500+8660+1500</f>
        <v>280000</v>
      </c>
      <c r="N21" s="58">
        <f t="shared" si="3"/>
        <v>0</v>
      </c>
      <c r="O21" s="58">
        <f t="shared" si="4"/>
        <v>100</v>
      </c>
      <c r="P21" s="58"/>
      <c r="Q21" s="319"/>
      <c r="R21" s="324">
        <f t="shared" si="2"/>
        <v>0</v>
      </c>
    </row>
    <row r="22" spans="1:18" s="320" customFormat="1" x14ac:dyDescent="0.2">
      <c r="A22" s="17"/>
      <c r="B22" s="18"/>
      <c r="C22" s="18"/>
      <c r="D22" s="348" t="s">
        <v>300</v>
      </c>
      <c r="E22" s="368">
        <f t="shared" si="5"/>
        <v>100000</v>
      </c>
      <c r="F22" s="368"/>
      <c r="G22" s="15">
        <v>100000</v>
      </c>
      <c r="H22" s="336" t="s">
        <v>388</v>
      </c>
      <c r="I22" s="337"/>
      <c r="J22" s="338"/>
      <c r="K22" s="15"/>
      <c r="L22" s="15"/>
      <c r="M22" s="58">
        <f>89800+10200</f>
        <v>100000</v>
      </c>
      <c r="N22" s="58">
        <f t="shared" si="3"/>
        <v>0</v>
      </c>
      <c r="O22" s="58">
        <f t="shared" si="4"/>
        <v>100</v>
      </c>
      <c r="P22" s="58"/>
      <c r="Q22" s="319"/>
      <c r="R22" s="324">
        <f t="shared" si="2"/>
        <v>0</v>
      </c>
    </row>
    <row r="23" spans="1:18" s="320" customFormat="1" ht="27.75" customHeight="1" x14ac:dyDescent="0.2">
      <c r="A23" s="17"/>
      <c r="B23" s="18"/>
      <c r="C23" s="18"/>
      <c r="D23" s="348" t="s">
        <v>301</v>
      </c>
      <c r="E23" s="368">
        <f t="shared" si="5"/>
        <v>100000</v>
      </c>
      <c r="F23" s="368"/>
      <c r="G23" s="15">
        <v>100000</v>
      </c>
      <c r="H23" s="336" t="s">
        <v>388</v>
      </c>
      <c r="I23" s="337"/>
      <c r="J23" s="338"/>
      <c r="K23" s="15"/>
      <c r="L23" s="15"/>
      <c r="M23" s="58">
        <f>46000+54000</f>
        <v>100000</v>
      </c>
      <c r="N23" s="58">
        <f t="shared" si="3"/>
        <v>0</v>
      </c>
      <c r="O23" s="58">
        <f t="shared" si="4"/>
        <v>100</v>
      </c>
      <c r="P23" s="58"/>
      <c r="Q23" s="319"/>
      <c r="R23" s="324">
        <f t="shared" si="2"/>
        <v>0</v>
      </c>
    </row>
    <row r="24" spans="1:18" s="320" customFormat="1" x14ac:dyDescent="0.2">
      <c r="A24" s="17"/>
      <c r="B24" s="18"/>
      <c r="C24" s="18"/>
      <c r="D24" s="348" t="s">
        <v>302</v>
      </c>
      <c r="E24" s="368">
        <f t="shared" si="5"/>
        <v>46500</v>
      </c>
      <c r="F24" s="368"/>
      <c r="G24" s="15">
        <f>50000-3500</f>
        <v>46500</v>
      </c>
      <c r="H24" s="336" t="s">
        <v>388</v>
      </c>
      <c r="I24" s="337"/>
      <c r="J24" s="338"/>
      <c r="K24" s="15"/>
      <c r="L24" s="15"/>
      <c r="M24" s="58">
        <f>17400+29100</f>
        <v>46500</v>
      </c>
      <c r="N24" s="58">
        <f>G24-M24-P24</f>
        <v>0</v>
      </c>
      <c r="O24" s="58">
        <v>100</v>
      </c>
      <c r="P24" s="58">
        <v>0</v>
      </c>
      <c r="Q24" s="319"/>
      <c r="R24" s="324">
        <f t="shared" si="2"/>
        <v>0</v>
      </c>
    </row>
    <row r="25" spans="1:18" s="320" customFormat="1" x14ac:dyDescent="0.2">
      <c r="A25" s="17"/>
      <c r="B25" s="18"/>
      <c r="C25" s="18"/>
      <c r="D25" s="348" t="s">
        <v>303</v>
      </c>
      <c r="E25" s="368">
        <f t="shared" si="5"/>
        <v>50000</v>
      </c>
      <c r="F25" s="368"/>
      <c r="G25" s="15">
        <v>50000</v>
      </c>
      <c r="H25" s="336" t="s">
        <v>388</v>
      </c>
      <c r="I25" s="337"/>
      <c r="J25" s="338"/>
      <c r="K25" s="15"/>
      <c r="L25" s="15"/>
      <c r="M25" s="58">
        <f>7800+36900+5300</f>
        <v>50000</v>
      </c>
      <c r="N25" s="58">
        <f t="shared" si="3"/>
        <v>0</v>
      </c>
      <c r="O25" s="58">
        <f t="shared" si="4"/>
        <v>100</v>
      </c>
      <c r="P25" s="58"/>
      <c r="Q25" s="319"/>
      <c r="R25" s="324">
        <f t="shared" si="2"/>
        <v>0</v>
      </c>
    </row>
    <row r="26" spans="1:18" s="320" customFormat="1" ht="37.5" x14ac:dyDescent="0.2">
      <c r="A26" s="17"/>
      <c r="B26" s="18"/>
      <c r="C26" s="18"/>
      <c r="D26" s="348" t="s">
        <v>304</v>
      </c>
      <c r="E26" s="368">
        <f t="shared" si="5"/>
        <v>50000</v>
      </c>
      <c r="F26" s="368"/>
      <c r="G26" s="15">
        <v>50000</v>
      </c>
      <c r="H26" s="336" t="s">
        <v>349</v>
      </c>
      <c r="I26" s="337"/>
      <c r="J26" s="338"/>
      <c r="K26" s="15"/>
      <c r="L26" s="15"/>
      <c r="M26" s="58">
        <f>11595+7200</f>
        <v>18795</v>
      </c>
      <c r="N26" s="58">
        <f t="shared" si="3"/>
        <v>31205</v>
      </c>
      <c r="O26" s="58">
        <f t="shared" si="4"/>
        <v>37.590000000000003</v>
      </c>
      <c r="P26" s="58"/>
      <c r="Q26" s="319"/>
      <c r="R26" s="324">
        <f t="shared" si="2"/>
        <v>0</v>
      </c>
    </row>
    <row r="27" spans="1:18" s="320" customFormat="1" ht="25.5" customHeight="1" x14ac:dyDescent="0.2">
      <c r="A27" s="17"/>
      <c r="B27" s="18"/>
      <c r="C27" s="18"/>
      <c r="D27" s="348" t="s">
        <v>305</v>
      </c>
      <c r="E27" s="368">
        <f t="shared" si="5"/>
        <v>55000</v>
      </c>
      <c r="F27" s="368"/>
      <c r="G27" s="15">
        <v>55000</v>
      </c>
      <c r="H27" s="336" t="s">
        <v>388</v>
      </c>
      <c r="I27" s="337"/>
      <c r="J27" s="338"/>
      <c r="K27" s="15"/>
      <c r="L27" s="15"/>
      <c r="M27" s="58">
        <v>55000</v>
      </c>
      <c r="N27" s="58">
        <f t="shared" si="3"/>
        <v>0</v>
      </c>
      <c r="O27" s="58">
        <f t="shared" si="4"/>
        <v>100</v>
      </c>
      <c r="P27" s="58"/>
      <c r="Q27" s="319"/>
      <c r="R27" s="324">
        <f t="shared" si="2"/>
        <v>0</v>
      </c>
    </row>
    <row r="28" spans="1:18" s="320" customFormat="1" x14ac:dyDescent="0.2">
      <c r="A28" s="17"/>
      <c r="B28" s="18"/>
      <c r="C28" s="18"/>
      <c r="D28" s="19" t="s">
        <v>410</v>
      </c>
      <c r="E28" s="368">
        <f t="shared" si="5"/>
        <v>140000</v>
      </c>
      <c r="F28" s="368">
        <v>0</v>
      </c>
      <c r="G28" s="15">
        <v>140000</v>
      </c>
      <c r="H28" s="336" t="s">
        <v>388</v>
      </c>
      <c r="I28" s="337"/>
      <c r="J28" s="338"/>
      <c r="K28" s="15"/>
      <c r="L28" s="15"/>
      <c r="M28" s="58">
        <f>4000+4000+9000+11000+4000+7000+4000+10000+4000+6000+20000+20000+13000+10000+8000+2000+2000+2000</f>
        <v>140000</v>
      </c>
      <c r="N28" s="58">
        <f t="shared" si="3"/>
        <v>0</v>
      </c>
      <c r="O28" s="58">
        <f t="shared" si="4"/>
        <v>100</v>
      </c>
      <c r="P28" s="58"/>
      <c r="Q28" s="319" t="s">
        <v>11</v>
      </c>
      <c r="R28" s="324">
        <f t="shared" si="2"/>
        <v>0</v>
      </c>
    </row>
    <row r="29" spans="1:18" s="320" customFormat="1" x14ac:dyDescent="0.2">
      <c r="A29" s="12"/>
      <c r="B29" s="13"/>
      <c r="C29" s="13"/>
      <c r="D29" s="293" t="s">
        <v>121</v>
      </c>
      <c r="E29" s="368">
        <f t="shared" si="5"/>
        <v>900000</v>
      </c>
      <c r="F29" s="368">
        <v>0</v>
      </c>
      <c r="G29" s="15">
        <v>900000</v>
      </c>
      <c r="H29" s="336" t="s">
        <v>388</v>
      </c>
      <c r="I29" s="337"/>
      <c r="J29" s="338"/>
      <c r="K29" s="15"/>
      <c r="L29" s="15"/>
      <c r="M29" s="58">
        <f>262650+37350+262650+37350+262650+37350</f>
        <v>900000</v>
      </c>
      <c r="N29" s="58">
        <f t="shared" si="3"/>
        <v>0</v>
      </c>
      <c r="O29" s="58">
        <f t="shared" si="4"/>
        <v>100</v>
      </c>
      <c r="P29" s="58"/>
      <c r="Q29" s="16" t="s">
        <v>11</v>
      </c>
      <c r="R29" s="324">
        <f t="shared" si="2"/>
        <v>0</v>
      </c>
    </row>
    <row r="30" spans="1:18" s="320" customFormat="1" ht="42" x14ac:dyDescent="0.2">
      <c r="A30" s="12"/>
      <c r="B30" s="13"/>
      <c r="C30" s="13"/>
      <c r="D30" s="293" t="s">
        <v>452</v>
      </c>
      <c r="E30" s="368">
        <f t="shared" si="5"/>
        <v>50000</v>
      </c>
      <c r="F30" s="67">
        <v>0</v>
      </c>
      <c r="G30" s="20">
        <v>50000</v>
      </c>
      <c r="H30" s="336" t="s">
        <v>388</v>
      </c>
      <c r="I30" s="339"/>
      <c r="J30" s="340"/>
      <c r="K30" s="20"/>
      <c r="L30" s="20"/>
      <c r="M30" s="59">
        <f>22100+27900</f>
        <v>50000</v>
      </c>
      <c r="N30" s="58">
        <f t="shared" si="3"/>
        <v>0</v>
      </c>
      <c r="O30" s="58">
        <f t="shared" si="4"/>
        <v>100</v>
      </c>
      <c r="P30" s="58"/>
      <c r="Q30" s="16" t="s">
        <v>11</v>
      </c>
      <c r="R30" s="324">
        <f t="shared" si="2"/>
        <v>0</v>
      </c>
    </row>
    <row r="31" spans="1:18" s="320" customFormat="1" ht="42" x14ac:dyDescent="0.2">
      <c r="A31" s="12"/>
      <c r="B31" s="13"/>
      <c r="C31" s="13"/>
      <c r="D31" s="293" t="s">
        <v>123</v>
      </c>
      <c r="E31" s="67">
        <f t="shared" si="5"/>
        <v>150000</v>
      </c>
      <c r="F31" s="67">
        <v>0</v>
      </c>
      <c r="G31" s="20">
        <v>150000</v>
      </c>
      <c r="H31" s="349" t="s">
        <v>388</v>
      </c>
      <c r="I31" s="339"/>
      <c r="J31" s="340"/>
      <c r="K31" s="20"/>
      <c r="L31" s="20"/>
      <c r="M31" s="59">
        <f>47800+3375+96600-5000</f>
        <v>142775</v>
      </c>
      <c r="N31" s="59">
        <f>G31-M31-P31</f>
        <v>0</v>
      </c>
      <c r="O31" s="59">
        <v>100</v>
      </c>
      <c r="P31" s="59">
        <v>7225</v>
      </c>
      <c r="Q31" s="16" t="s">
        <v>11</v>
      </c>
      <c r="R31" s="324">
        <f t="shared" si="2"/>
        <v>0</v>
      </c>
    </row>
    <row r="32" spans="1:18" s="320" customFormat="1" ht="42" x14ac:dyDescent="0.2">
      <c r="A32" s="12"/>
      <c r="B32" s="13"/>
      <c r="C32" s="13"/>
      <c r="D32" s="293" t="s">
        <v>122</v>
      </c>
      <c r="E32" s="67">
        <f t="shared" si="5"/>
        <v>360000</v>
      </c>
      <c r="F32" s="67">
        <v>0</v>
      </c>
      <c r="G32" s="20">
        <v>360000</v>
      </c>
      <c r="H32" s="336" t="s">
        <v>388</v>
      </c>
      <c r="I32" s="339"/>
      <c r="J32" s="340"/>
      <c r="K32" s="20"/>
      <c r="L32" s="20"/>
      <c r="M32" s="59">
        <f>300550+59450</f>
        <v>360000</v>
      </c>
      <c r="N32" s="59">
        <f t="shared" si="3"/>
        <v>0</v>
      </c>
      <c r="O32" s="59">
        <f t="shared" si="4"/>
        <v>100</v>
      </c>
      <c r="P32" s="59"/>
      <c r="Q32" s="16" t="s">
        <v>11</v>
      </c>
      <c r="R32" s="324">
        <f t="shared" si="2"/>
        <v>0</v>
      </c>
    </row>
    <row r="33" spans="1:18" s="320" customFormat="1" ht="42" x14ac:dyDescent="0.2">
      <c r="A33" s="12"/>
      <c r="B33" s="13"/>
      <c r="C33" s="13"/>
      <c r="D33" s="293" t="s">
        <v>453</v>
      </c>
      <c r="E33" s="368">
        <f t="shared" si="5"/>
        <v>1020000</v>
      </c>
      <c r="F33" s="368">
        <v>0</v>
      </c>
      <c r="G33" s="20">
        <v>1020000</v>
      </c>
      <c r="H33" s="336" t="s">
        <v>349</v>
      </c>
      <c r="I33" s="339"/>
      <c r="J33" s="340"/>
      <c r="K33" s="20"/>
      <c r="L33" s="20"/>
      <c r="M33" s="59">
        <f>39000+4000+4000+12000+16000+86000+12000+12000+35000+84000+8000+24000+11000+50000+16000+39000+4000+52000+60000+3000+10000+16000+4000+44000+36000+4000+8000+12000+4000+13000+15000+60000+12000+60000+36000+50000+36000+12000</f>
        <v>1003000</v>
      </c>
      <c r="N33" s="58">
        <f t="shared" si="3"/>
        <v>17000</v>
      </c>
      <c r="O33" s="58">
        <f t="shared" si="4"/>
        <v>98.333333333333329</v>
      </c>
      <c r="P33" s="58"/>
      <c r="Q33" s="16" t="s">
        <v>11</v>
      </c>
      <c r="R33" s="324">
        <f t="shared" si="2"/>
        <v>0</v>
      </c>
    </row>
    <row r="34" spans="1:18" s="320" customFormat="1" ht="45.75" customHeight="1" x14ac:dyDescent="0.2">
      <c r="A34" s="9"/>
      <c r="B34" s="22"/>
      <c r="C34" s="22"/>
      <c r="D34" s="19" t="s">
        <v>454</v>
      </c>
      <c r="E34" s="368">
        <f t="shared" si="5"/>
        <v>282260</v>
      </c>
      <c r="F34" s="368">
        <v>0</v>
      </c>
      <c r="G34" s="20">
        <f>283700-1440</f>
        <v>282260</v>
      </c>
      <c r="H34" s="336" t="s">
        <v>388</v>
      </c>
      <c r="I34" s="339"/>
      <c r="J34" s="340"/>
      <c r="K34" s="20"/>
      <c r="L34" s="20"/>
      <c r="M34" s="59">
        <f>178800+28100+45000+31800-2190</f>
        <v>281510</v>
      </c>
      <c r="N34" s="58"/>
      <c r="O34" s="58">
        <v>100</v>
      </c>
      <c r="P34" s="58">
        <f>2190-1440</f>
        <v>750</v>
      </c>
      <c r="Q34" s="16" t="s">
        <v>11</v>
      </c>
      <c r="R34" s="324">
        <f t="shared" si="2"/>
        <v>0</v>
      </c>
    </row>
    <row r="35" spans="1:18" s="320" customFormat="1" x14ac:dyDescent="0.2">
      <c r="A35" s="24"/>
      <c r="B35" s="25"/>
      <c r="C35" s="674" t="s">
        <v>124</v>
      </c>
      <c r="D35" s="675"/>
      <c r="E35" s="66">
        <f>F35+G35</f>
        <v>65000</v>
      </c>
      <c r="F35" s="66">
        <f>F36</f>
        <v>0</v>
      </c>
      <c r="G35" s="11">
        <f>G36</f>
        <v>65000</v>
      </c>
      <c r="H35" s="334"/>
      <c r="I35" s="335"/>
      <c r="J35" s="334"/>
      <c r="K35" s="11">
        <f t="shared" ref="K35:P35" si="6">K36</f>
        <v>0</v>
      </c>
      <c r="L35" s="11">
        <f t="shared" si="6"/>
        <v>0</v>
      </c>
      <c r="M35" s="66">
        <f t="shared" si="6"/>
        <v>65000</v>
      </c>
      <c r="N35" s="66">
        <f t="shared" si="6"/>
        <v>0</v>
      </c>
      <c r="O35" s="66">
        <v>100</v>
      </c>
      <c r="P35" s="66">
        <f t="shared" si="6"/>
        <v>0</v>
      </c>
      <c r="Q35" s="21"/>
      <c r="R35" s="324">
        <f t="shared" si="2"/>
        <v>0</v>
      </c>
    </row>
    <row r="36" spans="1:18" s="320" customFormat="1" ht="27.75" customHeight="1" x14ac:dyDescent="0.2">
      <c r="A36" s="12"/>
      <c r="B36" s="13"/>
      <c r="C36" s="316"/>
      <c r="D36" s="293" t="s">
        <v>127</v>
      </c>
      <c r="E36" s="67">
        <f>G36</f>
        <v>65000</v>
      </c>
      <c r="F36" s="67">
        <v>0</v>
      </c>
      <c r="G36" s="20">
        <f>80000-15000</f>
        <v>65000</v>
      </c>
      <c r="H36" s="336" t="s">
        <v>388</v>
      </c>
      <c r="I36" s="339"/>
      <c r="J36" s="340"/>
      <c r="K36" s="20"/>
      <c r="L36" s="20"/>
      <c r="M36" s="59">
        <f>32200+4000+28800</f>
        <v>65000</v>
      </c>
      <c r="N36" s="59">
        <f>G36-M36-P36</f>
        <v>0</v>
      </c>
      <c r="O36" s="59">
        <v>100</v>
      </c>
      <c r="P36" s="59">
        <v>0</v>
      </c>
      <c r="Q36" s="16" t="s">
        <v>8</v>
      </c>
      <c r="R36" s="324">
        <f t="shared" si="2"/>
        <v>0</v>
      </c>
    </row>
    <row r="37" spans="1:18" s="320" customFormat="1" x14ac:dyDescent="0.2">
      <c r="A37" s="17"/>
      <c r="B37" s="18"/>
      <c r="C37" s="670" t="s">
        <v>125</v>
      </c>
      <c r="D37" s="671"/>
      <c r="E37" s="66">
        <f>F37+G37</f>
        <v>65000</v>
      </c>
      <c r="F37" s="66">
        <f>F38</f>
        <v>0</v>
      </c>
      <c r="G37" s="11">
        <f>G38</f>
        <v>65000</v>
      </c>
      <c r="H37" s="334"/>
      <c r="I37" s="335"/>
      <c r="J37" s="334"/>
      <c r="K37" s="11">
        <f t="shared" ref="K37:P37" si="7">K38</f>
        <v>0</v>
      </c>
      <c r="L37" s="11">
        <f t="shared" si="7"/>
        <v>0</v>
      </c>
      <c r="M37" s="66">
        <f t="shared" si="7"/>
        <v>65000</v>
      </c>
      <c r="N37" s="66">
        <f t="shared" si="7"/>
        <v>0</v>
      </c>
      <c r="O37" s="66">
        <f t="shared" ref="O37:O43" si="8">M37*100/G37</f>
        <v>100</v>
      </c>
      <c r="P37" s="66">
        <f t="shared" si="7"/>
        <v>0</v>
      </c>
      <c r="Q37" s="21"/>
      <c r="R37" s="324">
        <f t="shared" si="2"/>
        <v>0</v>
      </c>
    </row>
    <row r="38" spans="1:18" s="320" customFormat="1" ht="31.5" x14ac:dyDescent="0.2">
      <c r="A38" s="12"/>
      <c r="B38" s="13"/>
      <c r="C38" s="316"/>
      <c r="D38" s="293" t="s">
        <v>128</v>
      </c>
      <c r="E38" s="67">
        <f>G38</f>
        <v>65000</v>
      </c>
      <c r="F38" s="67">
        <v>0</v>
      </c>
      <c r="G38" s="20">
        <f>80000-15000</f>
        <v>65000</v>
      </c>
      <c r="H38" s="336" t="s">
        <v>388</v>
      </c>
      <c r="I38" s="339"/>
      <c r="J38" s="340"/>
      <c r="K38" s="20"/>
      <c r="L38" s="20"/>
      <c r="M38" s="59">
        <f>32200+4000+28800</f>
        <v>65000</v>
      </c>
      <c r="N38" s="59">
        <f>G38-M38-P38</f>
        <v>0</v>
      </c>
      <c r="O38" s="59">
        <f t="shared" si="8"/>
        <v>100</v>
      </c>
      <c r="P38" s="59">
        <v>0</v>
      </c>
      <c r="Q38" s="16" t="s">
        <v>8</v>
      </c>
      <c r="R38" s="324">
        <f t="shared" si="2"/>
        <v>0</v>
      </c>
    </row>
    <row r="39" spans="1:18" s="320" customFormat="1" x14ac:dyDescent="0.2">
      <c r="A39" s="24"/>
      <c r="B39" s="25"/>
      <c r="C39" s="674" t="s">
        <v>126</v>
      </c>
      <c r="D39" s="675"/>
      <c r="E39" s="66">
        <f>F39+G39</f>
        <v>200000</v>
      </c>
      <c r="F39" s="66">
        <f>F40</f>
        <v>0</v>
      </c>
      <c r="G39" s="11">
        <f>G40</f>
        <v>200000</v>
      </c>
      <c r="H39" s="334"/>
      <c r="I39" s="335"/>
      <c r="J39" s="334"/>
      <c r="K39" s="11">
        <f t="shared" ref="K39:P39" si="9">K40</f>
        <v>0</v>
      </c>
      <c r="L39" s="11">
        <f t="shared" si="9"/>
        <v>0</v>
      </c>
      <c r="M39" s="66">
        <f t="shared" si="9"/>
        <v>200000</v>
      </c>
      <c r="N39" s="66">
        <f t="shared" si="9"/>
        <v>0</v>
      </c>
      <c r="O39" s="66">
        <f t="shared" si="8"/>
        <v>100</v>
      </c>
      <c r="P39" s="66">
        <f t="shared" si="9"/>
        <v>0</v>
      </c>
      <c r="Q39" s="21"/>
      <c r="R39" s="324">
        <f t="shared" si="2"/>
        <v>0</v>
      </c>
    </row>
    <row r="40" spans="1:18" s="320" customFormat="1" x14ac:dyDescent="0.2">
      <c r="A40" s="12"/>
      <c r="B40" s="13"/>
      <c r="C40" s="316"/>
      <c r="D40" s="293" t="s">
        <v>129</v>
      </c>
      <c r="E40" s="67">
        <f>G40</f>
        <v>200000</v>
      </c>
      <c r="F40" s="67">
        <v>0</v>
      </c>
      <c r="G40" s="20">
        <v>200000</v>
      </c>
      <c r="H40" s="336" t="s">
        <v>388</v>
      </c>
      <c r="I40" s="339"/>
      <c r="J40" s="340"/>
      <c r="K40" s="20"/>
      <c r="L40" s="20"/>
      <c r="M40" s="59">
        <f>25000+10000+6000+25000+6000+7000+15000+25000+25000+4000+3000+4000+8000+4000+7000+2500+8000+10000+2000+3500</f>
        <v>200000</v>
      </c>
      <c r="N40" s="59">
        <f>G40-M40</f>
        <v>0</v>
      </c>
      <c r="O40" s="59">
        <f t="shared" si="8"/>
        <v>100</v>
      </c>
      <c r="P40" s="59"/>
      <c r="Q40" s="16" t="s">
        <v>11</v>
      </c>
      <c r="R40" s="324">
        <f t="shared" si="2"/>
        <v>0</v>
      </c>
    </row>
    <row r="41" spans="1:18" s="320" customFormat="1" ht="49.5" customHeight="1" x14ac:dyDescent="0.2">
      <c r="A41" s="17"/>
      <c r="B41" s="670" t="s">
        <v>130</v>
      </c>
      <c r="C41" s="670"/>
      <c r="D41" s="671"/>
      <c r="E41" s="333">
        <f>F41+G41</f>
        <v>220000</v>
      </c>
      <c r="F41" s="333">
        <f>F42</f>
        <v>0</v>
      </c>
      <c r="G41" s="330">
        <f>G42</f>
        <v>220000</v>
      </c>
      <c r="H41" s="331"/>
      <c r="I41" s="332"/>
      <c r="J41" s="331"/>
      <c r="K41" s="330">
        <f t="shared" ref="K41:P42" si="10">K42</f>
        <v>0</v>
      </c>
      <c r="L41" s="330">
        <f t="shared" si="10"/>
        <v>0</v>
      </c>
      <c r="M41" s="333">
        <f t="shared" si="10"/>
        <v>220000</v>
      </c>
      <c r="N41" s="333">
        <f t="shared" si="10"/>
        <v>0</v>
      </c>
      <c r="O41" s="333">
        <f t="shared" si="8"/>
        <v>100</v>
      </c>
      <c r="P41" s="333">
        <f t="shared" si="10"/>
        <v>0</v>
      </c>
      <c r="Q41" s="26"/>
      <c r="R41" s="324">
        <f t="shared" si="2"/>
        <v>0</v>
      </c>
    </row>
    <row r="42" spans="1:18" s="320" customFormat="1" ht="40.5" customHeight="1" x14ac:dyDescent="0.2">
      <c r="A42" s="12"/>
      <c r="B42" s="13"/>
      <c r="C42" s="668" t="s">
        <v>131</v>
      </c>
      <c r="D42" s="669"/>
      <c r="E42" s="522">
        <f>F42+G42</f>
        <v>220000</v>
      </c>
      <c r="F42" s="522">
        <f>F43</f>
        <v>0</v>
      </c>
      <c r="G42" s="350">
        <f>G43</f>
        <v>220000</v>
      </c>
      <c r="H42" s="351"/>
      <c r="I42" s="352"/>
      <c r="J42" s="351"/>
      <c r="K42" s="350">
        <f t="shared" si="10"/>
        <v>0</v>
      </c>
      <c r="L42" s="350">
        <f t="shared" si="10"/>
        <v>0</v>
      </c>
      <c r="M42" s="353">
        <f t="shared" si="10"/>
        <v>220000</v>
      </c>
      <c r="N42" s="353">
        <f t="shared" si="10"/>
        <v>0</v>
      </c>
      <c r="O42" s="353">
        <f t="shared" si="8"/>
        <v>100</v>
      </c>
      <c r="P42" s="353">
        <f t="shared" si="10"/>
        <v>0</v>
      </c>
      <c r="Q42" s="21"/>
      <c r="R42" s="324">
        <f t="shared" si="2"/>
        <v>0</v>
      </c>
    </row>
    <row r="43" spans="1:18" ht="31.5" x14ac:dyDescent="0.2">
      <c r="A43" s="27"/>
      <c r="B43" s="28"/>
      <c r="C43" s="28"/>
      <c r="D43" s="19" t="s">
        <v>132</v>
      </c>
      <c r="E43" s="67">
        <f>G43</f>
        <v>220000</v>
      </c>
      <c r="F43" s="428">
        <v>0</v>
      </c>
      <c r="G43" s="15">
        <v>220000</v>
      </c>
      <c r="H43" s="336" t="s">
        <v>388</v>
      </c>
      <c r="I43" s="337"/>
      <c r="J43" s="338"/>
      <c r="K43" s="15"/>
      <c r="L43" s="15"/>
      <c r="M43" s="58">
        <f>116000+35000+1500+8000+35000+20000+1500+3000</f>
        <v>220000</v>
      </c>
      <c r="N43" s="58">
        <f>G43-M43</f>
        <v>0</v>
      </c>
      <c r="O43" s="58">
        <f t="shared" si="8"/>
        <v>100</v>
      </c>
      <c r="P43" s="58"/>
      <c r="Q43" s="16" t="s">
        <v>12</v>
      </c>
      <c r="R43" s="324">
        <f t="shared" si="2"/>
        <v>0</v>
      </c>
    </row>
    <row r="44" spans="1:18" s="320" customFormat="1" ht="39.75" customHeight="1" x14ac:dyDescent="0.2">
      <c r="A44" s="17"/>
      <c r="B44" s="670" t="s">
        <v>133</v>
      </c>
      <c r="C44" s="670"/>
      <c r="D44" s="671"/>
      <c r="E44" s="357">
        <f>F44+G44</f>
        <v>28432098</v>
      </c>
      <c r="F44" s="357">
        <f>F45+F68</f>
        <v>6666000</v>
      </c>
      <c r="G44" s="108">
        <f>G45+G68</f>
        <v>21766098</v>
      </c>
      <c r="H44" s="355"/>
      <c r="I44" s="356"/>
      <c r="J44" s="355"/>
      <c r="K44" s="108">
        <f>K45+K68</f>
        <v>6493169.5700000003</v>
      </c>
      <c r="L44" s="108">
        <f>L45+L68</f>
        <v>172830.43000000017</v>
      </c>
      <c r="M44" s="357">
        <f>M45+M68</f>
        <v>8224730.3700000001</v>
      </c>
      <c r="N44" s="357">
        <f>N45+N68</f>
        <v>19259637.199999999</v>
      </c>
      <c r="O44" s="357">
        <f>M44*100/E44</f>
        <v>28.927623877773634</v>
      </c>
      <c r="P44" s="357">
        <f>P45+P68</f>
        <v>774900</v>
      </c>
      <c r="Q44" s="21"/>
      <c r="R44" s="324">
        <f t="shared" si="2"/>
        <v>0</v>
      </c>
    </row>
    <row r="45" spans="1:18" s="320" customFormat="1" ht="25.5" customHeight="1" x14ac:dyDescent="0.2">
      <c r="A45" s="12"/>
      <c r="B45" s="13"/>
      <c r="C45" s="668" t="s">
        <v>134</v>
      </c>
      <c r="D45" s="669"/>
      <c r="E45" s="66">
        <f>F45+G45</f>
        <v>14202098</v>
      </c>
      <c r="F45" s="66">
        <f>F46+F47+F48+F53+F54+F67</f>
        <v>6666000</v>
      </c>
      <c r="G45" s="11">
        <f>G46+G47+G48+G53+G54+G67</f>
        <v>7536098</v>
      </c>
      <c r="H45" s="334"/>
      <c r="I45" s="335"/>
      <c r="J45" s="334"/>
      <c r="K45" s="11">
        <f>K46+K47+K48+K53+K54+K67</f>
        <v>6493169.5700000003</v>
      </c>
      <c r="L45" s="11">
        <f>L46+L47+L48+L53+L54+L67</f>
        <v>172830.43000000017</v>
      </c>
      <c r="M45" s="66">
        <f>M46+M47+M48+M53+M54+M67</f>
        <v>5699530.3700000001</v>
      </c>
      <c r="N45" s="66">
        <f>N46+N47+N48+N53+N54+N67</f>
        <v>7604837.1999999993</v>
      </c>
      <c r="O45" s="66">
        <f>M45*100/E45</f>
        <v>40.131608513052086</v>
      </c>
      <c r="P45" s="66">
        <f>P46+P47+P48+P53+P54+P67</f>
        <v>724900</v>
      </c>
      <c r="Q45" s="21"/>
      <c r="R45" s="324">
        <f t="shared" si="2"/>
        <v>9.3132257461547852E-10</v>
      </c>
    </row>
    <row r="46" spans="1:18" ht="63" x14ac:dyDescent="0.2">
      <c r="A46" s="29"/>
      <c r="B46" s="30"/>
      <c r="C46" s="30"/>
      <c r="D46" s="293" t="s">
        <v>135</v>
      </c>
      <c r="E46" s="67">
        <f>G46</f>
        <v>90800</v>
      </c>
      <c r="F46" s="67">
        <v>0</v>
      </c>
      <c r="G46" s="20">
        <f>100000-9200</f>
        <v>90800</v>
      </c>
      <c r="H46" s="336" t="s">
        <v>388</v>
      </c>
      <c r="I46" s="339"/>
      <c r="J46" s="340"/>
      <c r="K46" s="20"/>
      <c r="L46" s="20"/>
      <c r="M46" s="59">
        <f>35500+55300</f>
        <v>90800</v>
      </c>
      <c r="N46" s="59">
        <f>G46-M46-P46</f>
        <v>0</v>
      </c>
      <c r="O46" s="59">
        <v>100</v>
      </c>
      <c r="P46" s="59">
        <v>0</v>
      </c>
      <c r="Q46" s="16" t="s">
        <v>13</v>
      </c>
      <c r="R46" s="324">
        <f t="shared" si="2"/>
        <v>0</v>
      </c>
    </row>
    <row r="47" spans="1:18" ht="63" x14ac:dyDescent="0.2">
      <c r="A47" s="29"/>
      <c r="B47" s="30"/>
      <c r="C47" s="30"/>
      <c r="D47" s="293" t="s">
        <v>136</v>
      </c>
      <c r="E47" s="67">
        <f>G47</f>
        <v>286083</v>
      </c>
      <c r="F47" s="67">
        <v>0</v>
      </c>
      <c r="G47" s="20">
        <f>300000-13917</f>
        <v>286083</v>
      </c>
      <c r="H47" s="336" t="s">
        <v>388</v>
      </c>
      <c r="I47" s="339"/>
      <c r="J47" s="340"/>
      <c r="K47" s="20"/>
      <c r="L47" s="20"/>
      <c r="M47" s="59">
        <f>27950+540+540+27940+90500+1260+28000+28000+1260+1000+24955+540+844+844+540+21730+540+27000+2100</f>
        <v>286083</v>
      </c>
      <c r="N47" s="59">
        <f>G47-M47-P47</f>
        <v>0</v>
      </c>
      <c r="O47" s="59">
        <v>100</v>
      </c>
      <c r="P47" s="59">
        <v>0</v>
      </c>
      <c r="Q47" s="16" t="s">
        <v>473</v>
      </c>
      <c r="R47" s="324">
        <f t="shared" si="2"/>
        <v>0</v>
      </c>
    </row>
    <row r="48" spans="1:18" ht="63" x14ac:dyDescent="0.2">
      <c r="A48" s="29"/>
      <c r="B48" s="30"/>
      <c r="C48" s="30"/>
      <c r="D48" s="293" t="s">
        <v>340</v>
      </c>
      <c r="E48" s="67">
        <f>F48+G48</f>
        <v>7497915</v>
      </c>
      <c r="F48" s="67">
        <f>F50+F49</f>
        <v>4880000</v>
      </c>
      <c r="G48" s="23">
        <f>G49+G50</f>
        <v>2617915</v>
      </c>
      <c r="H48" s="336" t="s">
        <v>349</v>
      </c>
      <c r="I48" s="346"/>
      <c r="J48" s="347"/>
      <c r="K48" s="23">
        <f>K49+K50</f>
        <v>4809169.57</v>
      </c>
      <c r="L48" s="23">
        <f>L49+L50</f>
        <v>70830.430000000168</v>
      </c>
      <c r="M48" s="67">
        <f>M49+M50</f>
        <v>1483149.57</v>
      </c>
      <c r="N48" s="67">
        <f>N49+N50</f>
        <v>5668110</v>
      </c>
      <c r="O48" s="59">
        <f>M48*100/E48</f>
        <v>19.780826669814207</v>
      </c>
      <c r="P48" s="59">
        <f>P49+P50</f>
        <v>275825</v>
      </c>
      <c r="Q48" s="16" t="s">
        <v>14</v>
      </c>
      <c r="R48" s="324">
        <f t="shared" si="2"/>
        <v>0</v>
      </c>
    </row>
    <row r="49" spans="1:18" ht="20.25" customHeight="1" x14ac:dyDescent="0.2">
      <c r="A49" s="29"/>
      <c r="B49" s="30"/>
      <c r="C49" s="30"/>
      <c r="D49" s="293" t="s">
        <v>177</v>
      </c>
      <c r="E49" s="67">
        <f>F49+G49</f>
        <v>2617915</v>
      </c>
      <c r="F49" s="527"/>
      <c r="G49" s="23">
        <f>3003600-385685</f>
        <v>2617915</v>
      </c>
      <c r="H49" s="347"/>
      <c r="I49" s="346"/>
      <c r="J49" s="347"/>
      <c r="K49" s="23"/>
      <c r="L49" s="23"/>
      <c r="M49" s="67">
        <f>297160+95000+15600+3900+2500+39000+4840+45980</f>
        <v>503980</v>
      </c>
      <c r="N49" s="67">
        <f>G49-M49-P49</f>
        <v>1838110</v>
      </c>
      <c r="O49" s="67">
        <f>M49*100/G49</f>
        <v>19.251197995351262</v>
      </c>
      <c r="P49" s="67">
        <v>275825</v>
      </c>
      <c r="Q49" s="16"/>
      <c r="R49" s="324">
        <f t="shared" si="2"/>
        <v>0</v>
      </c>
    </row>
    <row r="50" spans="1:18" ht="23.25" customHeight="1" x14ac:dyDescent="0.2">
      <c r="A50" s="29"/>
      <c r="B50" s="30"/>
      <c r="C50" s="30"/>
      <c r="D50" s="293" t="s">
        <v>255</v>
      </c>
      <c r="E50" s="67">
        <f>F50+G50</f>
        <v>4880000</v>
      </c>
      <c r="F50" s="527">
        <f>F51+F52</f>
        <v>4880000</v>
      </c>
      <c r="G50" s="20">
        <f>G51+G52</f>
        <v>0</v>
      </c>
      <c r="H50" s="340"/>
      <c r="I50" s="339"/>
      <c r="J50" s="340"/>
      <c r="K50" s="20">
        <f>K51+K52</f>
        <v>4809169.57</v>
      </c>
      <c r="L50" s="20">
        <f>L51+L52</f>
        <v>70830.430000000168</v>
      </c>
      <c r="M50" s="59">
        <f>M51+M52</f>
        <v>979169.57000000007</v>
      </c>
      <c r="N50" s="67">
        <f>N51+N52</f>
        <v>3830000</v>
      </c>
      <c r="O50" s="67">
        <f>M50*100/F50</f>
        <v>20.064950204918034</v>
      </c>
      <c r="P50" s="67">
        <f>P51</f>
        <v>0</v>
      </c>
      <c r="Q50" s="16"/>
      <c r="R50" s="324">
        <f t="shared" si="2"/>
        <v>0</v>
      </c>
    </row>
    <row r="51" spans="1:18" ht="56.25" x14ac:dyDescent="0.2">
      <c r="A51" s="29"/>
      <c r="B51" s="30"/>
      <c r="C51" s="30"/>
      <c r="D51" s="293" t="s">
        <v>15</v>
      </c>
      <c r="E51" s="67">
        <f>F51</f>
        <v>3000000</v>
      </c>
      <c r="F51" s="527">
        <f>3331600-331600</f>
        <v>3000000</v>
      </c>
      <c r="G51" s="23">
        <v>0</v>
      </c>
      <c r="H51" s="257" t="s">
        <v>388</v>
      </c>
      <c r="I51" s="358" t="s">
        <v>442</v>
      </c>
      <c r="J51" s="290" t="s">
        <v>441</v>
      </c>
      <c r="K51" s="67">
        <v>2929169.57</v>
      </c>
      <c r="L51" s="67">
        <f>F51-K51</f>
        <v>70830.430000000168</v>
      </c>
      <c r="M51" s="67">
        <f>229169.57+750000</f>
        <v>979169.57000000007</v>
      </c>
      <c r="N51" s="67">
        <f>K51-M51-P51</f>
        <v>1949999.9999999998</v>
      </c>
      <c r="O51" s="67">
        <f>M51*100/K51</f>
        <v>33.428230991761943</v>
      </c>
      <c r="P51" s="67"/>
      <c r="Q51" s="273" t="s">
        <v>14</v>
      </c>
      <c r="R51" s="324">
        <f t="shared" si="2"/>
        <v>0</v>
      </c>
    </row>
    <row r="52" spans="1:18" ht="56.25" x14ac:dyDescent="0.2">
      <c r="A52" s="29"/>
      <c r="B52" s="30"/>
      <c r="C52" s="30"/>
      <c r="D52" s="293" t="s">
        <v>289</v>
      </c>
      <c r="E52" s="67">
        <f>F52</f>
        <v>1880000</v>
      </c>
      <c r="F52" s="527">
        <f>2000000-120000</f>
        <v>1880000</v>
      </c>
      <c r="G52" s="23">
        <v>0</v>
      </c>
      <c r="H52" s="290" t="s">
        <v>362</v>
      </c>
      <c r="I52" s="358" t="s">
        <v>592</v>
      </c>
      <c r="J52" s="257" t="s">
        <v>597</v>
      </c>
      <c r="K52" s="23">
        <v>1880000</v>
      </c>
      <c r="L52" s="23">
        <f>F52-K52</f>
        <v>0</v>
      </c>
      <c r="M52" s="67"/>
      <c r="N52" s="67">
        <f>K52</f>
        <v>1880000</v>
      </c>
      <c r="O52" s="67">
        <v>0</v>
      </c>
      <c r="P52" s="67"/>
      <c r="Q52" s="273" t="s">
        <v>14</v>
      </c>
      <c r="R52" s="324">
        <f t="shared" si="2"/>
        <v>0</v>
      </c>
    </row>
    <row r="53" spans="1:18" ht="93" customHeight="1" x14ac:dyDescent="0.2">
      <c r="A53" s="29"/>
      <c r="B53" s="30"/>
      <c r="C53" s="30"/>
      <c r="D53" s="293" t="s">
        <v>259</v>
      </c>
      <c r="E53" s="67">
        <f>G53</f>
        <v>901000</v>
      </c>
      <c r="F53" s="527">
        <v>0</v>
      </c>
      <c r="G53" s="23">
        <v>901000</v>
      </c>
      <c r="H53" s="336" t="s">
        <v>349</v>
      </c>
      <c r="I53" s="346"/>
      <c r="J53" s="347"/>
      <c r="K53" s="23"/>
      <c r="L53" s="23"/>
      <c r="M53" s="67">
        <f>21000+100000+77420+7011.9+10000+216610</f>
        <v>432041.9</v>
      </c>
      <c r="N53" s="67">
        <f>G53-M53-P53</f>
        <v>295708.09999999998</v>
      </c>
      <c r="O53" s="67">
        <f>M53*100/G53</f>
        <v>47.951376248612654</v>
      </c>
      <c r="P53" s="67">
        <v>173250</v>
      </c>
      <c r="Q53" s="16" t="s">
        <v>14</v>
      </c>
      <c r="R53" s="324">
        <f t="shared" si="2"/>
        <v>0</v>
      </c>
    </row>
    <row r="54" spans="1:18" ht="84" x14ac:dyDescent="0.2">
      <c r="A54" s="29"/>
      <c r="B54" s="30"/>
      <c r="C54" s="30"/>
      <c r="D54" s="293" t="s">
        <v>291</v>
      </c>
      <c r="E54" s="67">
        <f>F54+G54</f>
        <v>4363400</v>
      </c>
      <c r="F54" s="67">
        <f>F55+F60</f>
        <v>1786000</v>
      </c>
      <c r="G54" s="20">
        <f>G55+G60</f>
        <v>2577400</v>
      </c>
      <c r="H54" s="336" t="s">
        <v>349</v>
      </c>
      <c r="I54" s="339"/>
      <c r="J54" s="340"/>
      <c r="K54" s="20">
        <f>K55+K60</f>
        <v>1684000</v>
      </c>
      <c r="L54" s="20">
        <f>L55+L60</f>
        <v>102000</v>
      </c>
      <c r="M54" s="59">
        <f>M55+M60</f>
        <v>3039665.9</v>
      </c>
      <c r="N54" s="59">
        <f>N55+N60</f>
        <v>945909.10000000009</v>
      </c>
      <c r="O54" s="59">
        <f>M54*100/E54</f>
        <v>69.662783609112154</v>
      </c>
      <c r="P54" s="59">
        <f>P55</f>
        <v>275825</v>
      </c>
      <c r="Q54" s="16" t="s">
        <v>14</v>
      </c>
      <c r="R54" s="324">
        <f t="shared" si="2"/>
        <v>0</v>
      </c>
    </row>
    <row r="55" spans="1:18" x14ac:dyDescent="0.2">
      <c r="A55" s="29"/>
      <c r="B55" s="30"/>
      <c r="C55" s="30"/>
      <c r="D55" s="293" t="s">
        <v>177</v>
      </c>
      <c r="E55" s="67">
        <f>F55+G55</f>
        <v>2577400</v>
      </c>
      <c r="F55" s="67"/>
      <c r="G55" s="20">
        <v>2577400</v>
      </c>
      <c r="H55" s="340"/>
      <c r="I55" s="339"/>
      <c r="J55" s="340"/>
      <c r="K55" s="20"/>
      <c r="L55" s="20"/>
      <c r="M55" s="59">
        <f>9000+9000+9000+9000+9000+8129.03+8129.03+9032.25+8419.35+7548.38+9000+9000+9000+9000+8700+7800+7800+8700+9000+10000+75420+8950+10368.5+13446.14+4500+9000+9000+9000+9000+8419.35+8129.03+8129.03+9000+9032.25+10000+75420+24096.08+40000+12700+43520+10130+3500+10200+14605.18+9000+9000+9000+8709.67+9000+8709.67+9000+7548.38+10000+11000+13319.47+9000+9000+9000+9000+8357.14+8035.71+8035.71+9000+7392.85+10000+9300+45000-1000+15000+22410.15+9000+9000+9000+9000+7838.7+8129.03+8129.03+9000+7838.7+10000+26964+28000+39092+9000+9000+9000+8400+8700+7800+8100+9000+7800+10000+16154+9000+9000+9000+9000+9000+9000+9000+9000+9000+10000+25841.98+15261.22+380588+90700+4900+18966.89+8020+36800</f>
        <v>1847665.9</v>
      </c>
      <c r="N55" s="59">
        <f>G55-M55-P55</f>
        <v>453909.10000000009</v>
      </c>
      <c r="O55" s="59">
        <f>M55*100/G55</f>
        <v>71.687200279351288</v>
      </c>
      <c r="P55" s="59">
        <v>275825</v>
      </c>
      <c r="Q55" s="16"/>
      <c r="R55" s="324">
        <f t="shared" si="2"/>
        <v>0</v>
      </c>
    </row>
    <row r="56" spans="1:18" ht="37.5" hidden="1" x14ac:dyDescent="0.2">
      <c r="A56" s="31"/>
      <c r="B56" s="4"/>
      <c r="C56" s="4"/>
      <c r="D56" s="359" t="s">
        <v>269</v>
      </c>
      <c r="E56" s="523"/>
      <c r="F56" s="523"/>
      <c r="G56" s="360">
        <v>1400</v>
      </c>
      <c r="H56" s="361" t="s">
        <v>268</v>
      </c>
      <c r="I56" s="362"/>
      <c r="J56" s="363"/>
      <c r="K56" s="360"/>
      <c r="L56" s="360"/>
      <c r="M56" s="364"/>
      <c r="N56" s="364"/>
      <c r="O56" s="364"/>
      <c r="P56" s="61">
        <v>1400</v>
      </c>
      <c r="Q56" s="365" t="s">
        <v>21</v>
      </c>
      <c r="R56" s="324">
        <f t="shared" si="2"/>
        <v>-1400</v>
      </c>
    </row>
    <row r="57" spans="1:18" ht="42" hidden="1" x14ac:dyDescent="0.2">
      <c r="A57" s="31"/>
      <c r="B57" s="4"/>
      <c r="C57" s="4"/>
      <c r="D57" s="359" t="s">
        <v>272</v>
      </c>
      <c r="E57" s="523"/>
      <c r="F57" s="523"/>
      <c r="G57" s="360">
        <v>5670</v>
      </c>
      <c r="H57" s="361" t="s">
        <v>268</v>
      </c>
      <c r="I57" s="362"/>
      <c r="J57" s="363"/>
      <c r="K57" s="360"/>
      <c r="L57" s="360"/>
      <c r="M57" s="364"/>
      <c r="N57" s="364"/>
      <c r="O57" s="364"/>
      <c r="P57" s="61">
        <v>5670</v>
      </c>
      <c r="Q57" s="365" t="s">
        <v>21</v>
      </c>
      <c r="R57" s="324">
        <f t="shared" si="2"/>
        <v>-5670</v>
      </c>
    </row>
    <row r="58" spans="1:18" ht="35.25" hidden="1" customHeight="1" x14ac:dyDescent="0.2">
      <c r="A58" s="31"/>
      <c r="B58" s="4"/>
      <c r="C58" s="4"/>
      <c r="D58" s="359" t="s">
        <v>273</v>
      </c>
      <c r="E58" s="523"/>
      <c r="F58" s="523"/>
      <c r="G58" s="360">
        <v>9000</v>
      </c>
      <c r="H58" s="361" t="s">
        <v>268</v>
      </c>
      <c r="I58" s="362"/>
      <c r="J58" s="363"/>
      <c r="K58" s="360"/>
      <c r="L58" s="360"/>
      <c r="M58" s="364"/>
      <c r="N58" s="364"/>
      <c r="O58" s="364"/>
      <c r="P58" s="61">
        <v>9000</v>
      </c>
      <c r="Q58" s="365" t="s">
        <v>21</v>
      </c>
      <c r="R58" s="324">
        <f t="shared" si="2"/>
        <v>-9000</v>
      </c>
    </row>
    <row r="59" spans="1:18" ht="42" hidden="1" x14ac:dyDescent="0.2">
      <c r="A59" s="31"/>
      <c r="B59" s="4"/>
      <c r="C59" s="4"/>
      <c r="D59" s="359" t="s">
        <v>274</v>
      </c>
      <c r="E59" s="523"/>
      <c r="F59" s="523"/>
      <c r="G59" s="360">
        <v>105250</v>
      </c>
      <c r="H59" s="361" t="s">
        <v>268</v>
      </c>
      <c r="I59" s="362"/>
      <c r="J59" s="363"/>
      <c r="K59" s="360"/>
      <c r="L59" s="360"/>
      <c r="M59" s="364"/>
      <c r="N59" s="364"/>
      <c r="O59" s="364"/>
      <c r="P59" s="61">
        <v>105250</v>
      </c>
      <c r="Q59" s="365" t="s">
        <v>275</v>
      </c>
      <c r="R59" s="324">
        <f t="shared" si="2"/>
        <v>-105250</v>
      </c>
    </row>
    <row r="60" spans="1:18" x14ac:dyDescent="0.2">
      <c r="A60" s="27"/>
      <c r="B60" s="28"/>
      <c r="C60" s="28"/>
      <c r="D60" s="19" t="s">
        <v>255</v>
      </c>
      <c r="E60" s="368">
        <f>F60+G60</f>
        <v>1786000</v>
      </c>
      <c r="F60" s="368">
        <f>F61+F62+F63+F65+F66</f>
        <v>1786000</v>
      </c>
      <c r="G60" s="14">
        <f>G61+G62+G63+G65+G66</f>
        <v>0</v>
      </c>
      <c r="H60" s="366"/>
      <c r="I60" s="367"/>
      <c r="J60" s="366"/>
      <c r="K60" s="14">
        <f>K61+K62+K63+K65+K66</f>
        <v>1684000</v>
      </c>
      <c r="L60" s="14">
        <f>L61+L62+L63+L65+L66</f>
        <v>102000</v>
      </c>
      <c r="M60" s="368">
        <f>M61+M62+M63+M65+M66</f>
        <v>1192000</v>
      </c>
      <c r="N60" s="368">
        <f>N61+N62+N63+N65+N66</f>
        <v>492000</v>
      </c>
      <c r="O60" s="58">
        <f>M60*100/K60</f>
        <v>70.783847980997621</v>
      </c>
      <c r="P60" s="58"/>
      <c r="Q60" s="319"/>
      <c r="R60" s="324">
        <f t="shared" si="2"/>
        <v>0</v>
      </c>
    </row>
    <row r="61" spans="1:18" ht="51.75" x14ac:dyDescent="0.2">
      <c r="A61" s="29"/>
      <c r="B61" s="30"/>
      <c r="C61" s="30"/>
      <c r="D61" s="293" t="s">
        <v>16</v>
      </c>
      <c r="E61" s="67">
        <f t="shared" ref="E61:E66" si="11">F61</f>
        <v>300000</v>
      </c>
      <c r="F61" s="67">
        <f>341500-41500</f>
        <v>300000</v>
      </c>
      <c r="G61" s="369">
        <v>0</v>
      </c>
      <c r="H61" s="294" t="s">
        <v>388</v>
      </c>
      <c r="I61" s="370" t="s">
        <v>483</v>
      </c>
      <c r="J61" s="371" t="s">
        <v>307</v>
      </c>
      <c r="K61" s="372">
        <v>300000</v>
      </c>
      <c r="L61" s="372">
        <f>F61-K61</f>
        <v>0</v>
      </c>
      <c r="M61" s="373">
        <v>300000</v>
      </c>
      <c r="N61" s="373">
        <f>K61-M61</f>
        <v>0</v>
      </c>
      <c r="O61" s="373">
        <f>M61*100/K61</f>
        <v>100</v>
      </c>
      <c r="P61" s="373"/>
      <c r="Q61" s="16" t="s">
        <v>39</v>
      </c>
      <c r="R61" s="324">
        <f t="shared" si="2"/>
        <v>0</v>
      </c>
    </row>
    <row r="62" spans="1:18" ht="51.75" x14ac:dyDescent="0.2">
      <c r="A62" s="29"/>
      <c r="B62" s="30"/>
      <c r="C62" s="30"/>
      <c r="D62" s="293" t="s">
        <v>463</v>
      </c>
      <c r="E62" s="67">
        <f t="shared" si="11"/>
        <v>110000</v>
      </c>
      <c r="F62" s="67">
        <f>147000-37000</f>
        <v>110000</v>
      </c>
      <c r="G62" s="369">
        <v>0</v>
      </c>
      <c r="H62" s="294" t="s">
        <v>388</v>
      </c>
      <c r="I62" s="370" t="s">
        <v>483</v>
      </c>
      <c r="J62" s="371" t="s">
        <v>307</v>
      </c>
      <c r="K62" s="372">
        <v>110000</v>
      </c>
      <c r="L62" s="372">
        <f>F62-K62</f>
        <v>0</v>
      </c>
      <c r="M62" s="373">
        <v>110000</v>
      </c>
      <c r="N62" s="373">
        <f>K62-M62</f>
        <v>0</v>
      </c>
      <c r="O62" s="373">
        <f>M62*100/K62</f>
        <v>100</v>
      </c>
      <c r="P62" s="373"/>
      <c r="Q62" s="16" t="s">
        <v>39</v>
      </c>
      <c r="R62" s="324">
        <f t="shared" si="2"/>
        <v>0</v>
      </c>
    </row>
    <row r="63" spans="1:18" ht="54.75" customHeight="1" x14ac:dyDescent="0.2">
      <c r="A63" s="29"/>
      <c r="B63" s="30"/>
      <c r="C63" s="30"/>
      <c r="D63" s="293" t="s">
        <v>18</v>
      </c>
      <c r="E63" s="67">
        <f t="shared" si="11"/>
        <v>594000</v>
      </c>
      <c r="F63" s="67">
        <f>492000+102000</f>
        <v>594000</v>
      </c>
      <c r="G63" s="374">
        <v>0</v>
      </c>
      <c r="H63" s="663" t="s">
        <v>362</v>
      </c>
      <c r="I63" s="665" t="s">
        <v>484</v>
      </c>
      <c r="J63" s="375" t="s">
        <v>491</v>
      </c>
      <c r="K63" s="374">
        <v>492000</v>
      </c>
      <c r="L63" s="374">
        <f>F63-K63</f>
        <v>102000</v>
      </c>
      <c r="M63" s="59"/>
      <c r="N63" s="59">
        <f>K63-M63</f>
        <v>492000</v>
      </c>
      <c r="O63" s="59">
        <v>0</v>
      </c>
      <c r="P63" s="59"/>
      <c r="Q63" s="16" t="s">
        <v>25</v>
      </c>
      <c r="R63" s="324">
        <f t="shared" si="2"/>
        <v>0</v>
      </c>
    </row>
    <row r="64" spans="1:18" hidden="1" x14ac:dyDescent="0.2">
      <c r="A64" s="27"/>
      <c r="B64" s="28"/>
      <c r="C64" s="28"/>
      <c r="D64" s="19"/>
      <c r="E64" s="368">
        <f t="shared" si="11"/>
        <v>102000</v>
      </c>
      <c r="F64" s="368">
        <v>102000</v>
      </c>
      <c r="G64" s="376"/>
      <c r="H64" s="664"/>
      <c r="I64" s="666"/>
      <c r="J64" s="377"/>
      <c r="K64" s="376"/>
      <c r="L64" s="376"/>
      <c r="M64" s="58"/>
      <c r="N64" s="59"/>
      <c r="O64" s="59"/>
      <c r="P64" s="58"/>
      <c r="Q64" s="605"/>
      <c r="R64" s="324">
        <f t="shared" si="2"/>
        <v>102000</v>
      </c>
    </row>
    <row r="65" spans="1:18" ht="51.75" x14ac:dyDescent="0.2">
      <c r="A65" s="27"/>
      <c r="B65" s="28"/>
      <c r="C65" s="28"/>
      <c r="D65" s="19" t="s">
        <v>19</v>
      </c>
      <c r="E65" s="368">
        <f t="shared" si="11"/>
        <v>390000</v>
      </c>
      <c r="F65" s="368">
        <f>396000-6000</f>
        <v>390000</v>
      </c>
      <c r="G65" s="376">
        <v>0</v>
      </c>
      <c r="H65" s="257" t="s">
        <v>388</v>
      </c>
      <c r="I65" s="358" t="s">
        <v>414</v>
      </c>
      <c r="J65" s="378" t="s">
        <v>415</v>
      </c>
      <c r="K65" s="376">
        <v>390000</v>
      </c>
      <c r="L65" s="376">
        <f>F65-K65</f>
        <v>0</v>
      </c>
      <c r="M65" s="58">
        <v>390000</v>
      </c>
      <c r="N65" s="59">
        <f>K65-M65</f>
        <v>0</v>
      </c>
      <c r="O65" s="59">
        <f>M65*100/K65</f>
        <v>100</v>
      </c>
      <c r="P65" s="58"/>
      <c r="Q65" s="605" t="s">
        <v>25</v>
      </c>
      <c r="R65" s="324">
        <f t="shared" si="2"/>
        <v>0</v>
      </c>
    </row>
    <row r="66" spans="1:18" ht="75" x14ac:dyDescent="0.2">
      <c r="A66" s="27"/>
      <c r="B66" s="28"/>
      <c r="C66" s="28"/>
      <c r="D66" s="19" t="s">
        <v>20</v>
      </c>
      <c r="E66" s="368">
        <f t="shared" si="11"/>
        <v>392000</v>
      </c>
      <c r="F66" s="368">
        <f>450000-58000</f>
        <v>392000</v>
      </c>
      <c r="G66" s="376">
        <v>0</v>
      </c>
      <c r="H66" s="225" t="s">
        <v>388</v>
      </c>
      <c r="I66" s="370" t="s">
        <v>485</v>
      </c>
      <c r="J66" s="379" t="s">
        <v>492</v>
      </c>
      <c r="K66" s="376">
        <v>392000</v>
      </c>
      <c r="L66" s="376">
        <f>F66-K66</f>
        <v>0</v>
      </c>
      <c r="M66" s="58">
        <v>392000</v>
      </c>
      <c r="N66" s="59">
        <f>K66-M66</f>
        <v>0</v>
      </c>
      <c r="O66" s="59">
        <f>M66*100/K66</f>
        <v>100</v>
      </c>
      <c r="P66" s="58"/>
      <c r="Q66" s="16" t="s">
        <v>39</v>
      </c>
      <c r="R66" s="324">
        <f t="shared" si="2"/>
        <v>0</v>
      </c>
    </row>
    <row r="67" spans="1:18" ht="37.5" x14ac:dyDescent="0.2">
      <c r="A67" s="29"/>
      <c r="B67" s="30"/>
      <c r="C67" s="30"/>
      <c r="D67" s="293" t="s">
        <v>138</v>
      </c>
      <c r="E67" s="67">
        <f>G67</f>
        <v>1062900</v>
      </c>
      <c r="F67" s="67">
        <v>0</v>
      </c>
      <c r="G67" s="20">
        <v>1062900</v>
      </c>
      <c r="H67" s="336" t="s">
        <v>349</v>
      </c>
      <c r="I67" s="380"/>
      <c r="J67" s="340"/>
      <c r="K67" s="20"/>
      <c r="L67" s="20"/>
      <c r="M67" s="59">
        <f>65600+57400+58240+90000+96550</f>
        <v>367790</v>
      </c>
      <c r="N67" s="59">
        <f>G67-M67</f>
        <v>695110</v>
      </c>
      <c r="O67" s="59">
        <f>M67*100/G67</f>
        <v>34.602502587261263</v>
      </c>
      <c r="P67" s="59"/>
      <c r="Q67" s="16" t="s">
        <v>21</v>
      </c>
      <c r="R67" s="324">
        <f t="shared" si="2"/>
        <v>0</v>
      </c>
    </row>
    <row r="68" spans="1:18" s="320" customFormat="1" ht="33" customHeight="1" x14ac:dyDescent="0.2">
      <c r="A68" s="12"/>
      <c r="B68" s="13"/>
      <c r="C68" s="668" t="s">
        <v>137</v>
      </c>
      <c r="D68" s="669"/>
      <c r="E68" s="353">
        <f>E69+E70</f>
        <v>14230000</v>
      </c>
      <c r="F68" s="353">
        <f>F69+F70</f>
        <v>0</v>
      </c>
      <c r="G68" s="350">
        <f>G69+G70</f>
        <v>14230000</v>
      </c>
      <c r="H68" s="351"/>
      <c r="I68" s="352"/>
      <c r="J68" s="351"/>
      <c r="K68" s="350">
        <f t="shared" ref="K68:P68" si="12">K69+K70</f>
        <v>0</v>
      </c>
      <c r="L68" s="350">
        <f t="shared" si="12"/>
        <v>0</v>
      </c>
      <c r="M68" s="353">
        <f t="shared" si="12"/>
        <v>2525200</v>
      </c>
      <c r="N68" s="353">
        <f t="shared" si="12"/>
        <v>11654800</v>
      </c>
      <c r="O68" s="353">
        <f>M68*100/G68</f>
        <v>17.745607870695714</v>
      </c>
      <c r="P68" s="353">
        <f t="shared" si="12"/>
        <v>50000</v>
      </c>
      <c r="Q68" s="21"/>
      <c r="R68" s="324">
        <f t="shared" si="2"/>
        <v>0</v>
      </c>
    </row>
    <row r="69" spans="1:18" s="320" customFormat="1" ht="37.5" x14ac:dyDescent="0.2">
      <c r="A69" s="12"/>
      <c r="B69" s="13"/>
      <c r="C69" s="316"/>
      <c r="D69" s="293" t="s">
        <v>139</v>
      </c>
      <c r="E69" s="57">
        <f>G69</f>
        <v>13750000</v>
      </c>
      <c r="F69" s="57">
        <v>0</v>
      </c>
      <c r="G69" s="381">
        <v>13750000</v>
      </c>
      <c r="H69" s="382" t="s">
        <v>349</v>
      </c>
      <c r="I69" s="383"/>
      <c r="J69" s="384"/>
      <c r="K69" s="381"/>
      <c r="L69" s="381"/>
      <c r="M69" s="385">
        <f>4800+36200+168000+450000+194400+138600+245700+233100+151200+245700+117000+66000+117000+107100</f>
        <v>2274800</v>
      </c>
      <c r="N69" s="385">
        <f>G69-M69-P69</f>
        <v>11425200</v>
      </c>
      <c r="O69" s="385">
        <f>M69*100/G69</f>
        <v>16.544</v>
      </c>
      <c r="P69" s="385">
        <v>50000</v>
      </c>
      <c r="Q69" s="16" t="s">
        <v>22</v>
      </c>
      <c r="R69" s="324">
        <f t="shared" si="2"/>
        <v>0</v>
      </c>
    </row>
    <row r="70" spans="1:18" s="320" customFormat="1" ht="63" x14ac:dyDescent="0.2">
      <c r="A70" s="12"/>
      <c r="B70" s="13"/>
      <c r="C70" s="316"/>
      <c r="D70" s="293" t="s">
        <v>330</v>
      </c>
      <c r="E70" s="57">
        <f>G70</f>
        <v>480000</v>
      </c>
      <c r="F70" s="57">
        <v>0</v>
      </c>
      <c r="G70" s="381">
        <v>480000</v>
      </c>
      <c r="H70" s="336" t="s">
        <v>349</v>
      </c>
      <c r="I70" s="383"/>
      <c r="J70" s="384"/>
      <c r="K70" s="381"/>
      <c r="L70" s="381"/>
      <c r="M70" s="385">
        <f>47200+8480+164560-2800+49720-16760</f>
        <v>250400</v>
      </c>
      <c r="N70" s="385">
        <f>G70-M70</f>
        <v>229600</v>
      </c>
      <c r="O70" s="385">
        <f>M70*100/G70</f>
        <v>52.166666666666664</v>
      </c>
      <c r="P70" s="385"/>
      <c r="Q70" s="16" t="s">
        <v>14</v>
      </c>
      <c r="R70" s="324">
        <f t="shared" si="2"/>
        <v>0</v>
      </c>
    </row>
    <row r="71" spans="1:18" s="320" customFormat="1" ht="30.75" customHeight="1" x14ac:dyDescent="0.2">
      <c r="A71" s="17"/>
      <c r="B71" s="670" t="s">
        <v>140</v>
      </c>
      <c r="C71" s="670"/>
      <c r="D71" s="671"/>
      <c r="E71" s="357">
        <f>F71+G71</f>
        <v>797480</v>
      </c>
      <c r="F71" s="357">
        <f>F72</f>
        <v>0</v>
      </c>
      <c r="G71" s="108">
        <f>G72</f>
        <v>797480</v>
      </c>
      <c r="H71" s="355"/>
      <c r="I71" s="356"/>
      <c r="J71" s="355"/>
      <c r="K71" s="108">
        <f t="shared" ref="K71:P71" si="13">K72</f>
        <v>0</v>
      </c>
      <c r="L71" s="108">
        <f t="shared" si="13"/>
        <v>0</v>
      </c>
      <c r="M71" s="357">
        <f t="shared" si="13"/>
        <v>797480</v>
      </c>
      <c r="N71" s="357">
        <f t="shared" si="13"/>
        <v>0</v>
      </c>
      <c r="O71" s="357">
        <v>100</v>
      </c>
      <c r="P71" s="357">
        <f t="shared" si="13"/>
        <v>0</v>
      </c>
      <c r="Q71" s="21"/>
      <c r="R71" s="324">
        <f t="shared" si="2"/>
        <v>0</v>
      </c>
    </row>
    <row r="72" spans="1:18" s="320" customFormat="1" ht="32.25" customHeight="1" x14ac:dyDescent="0.2">
      <c r="A72" s="24"/>
      <c r="B72" s="25"/>
      <c r="C72" s="674" t="s">
        <v>141</v>
      </c>
      <c r="D72" s="675"/>
      <c r="E72" s="389">
        <f>F72+G72</f>
        <v>797480</v>
      </c>
      <c r="F72" s="389">
        <f>F73+F74+F75</f>
        <v>0</v>
      </c>
      <c r="G72" s="386">
        <f>G73+G74+G75</f>
        <v>797480</v>
      </c>
      <c r="H72" s="334"/>
      <c r="I72" s="387"/>
      <c r="J72" s="388"/>
      <c r="K72" s="386">
        <f t="shared" ref="K72:P72" si="14">K73+K74+K75</f>
        <v>0</v>
      </c>
      <c r="L72" s="386">
        <f t="shared" si="14"/>
        <v>0</v>
      </c>
      <c r="M72" s="389">
        <f t="shared" si="14"/>
        <v>797480</v>
      </c>
      <c r="N72" s="389">
        <f t="shared" si="14"/>
        <v>0</v>
      </c>
      <c r="O72" s="389">
        <v>100</v>
      </c>
      <c r="P72" s="389">
        <f t="shared" si="14"/>
        <v>0</v>
      </c>
      <c r="Q72" s="390"/>
      <c r="R72" s="324">
        <f t="shared" si="2"/>
        <v>0</v>
      </c>
    </row>
    <row r="73" spans="1:18" ht="51" customHeight="1" x14ac:dyDescent="0.2">
      <c r="A73" s="391"/>
      <c r="B73" s="392"/>
      <c r="C73" s="392"/>
      <c r="D73" s="393" t="s">
        <v>142</v>
      </c>
      <c r="E73" s="423">
        <f>G73</f>
        <v>97480</v>
      </c>
      <c r="F73" s="423">
        <v>0</v>
      </c>
      <c r="G73" s="395">
        <f>100000-2520</f>
        <v>97480</v>
      </c>
      <c r="H73" s="336" t="s">
        <v>388</v>
      </c>
      <c r="I73" s="396"/>
      <c r="J73" s="397"/>
      <c r="K73" s="398"/>
      <c r="L73" s="398"/>
      <c r="M73" s="399">
        <f>25700+30600+41180</f>
        <v>97480</v>
      </c>
      <c r="N73" s="399">
        <f>G73-M73-P73</f>
        <v>0</v>
      </c>
      <c r="O73" s="399">
        <v>100</v>
      </c>
      <c r="P73" s="399">
        <v>0</v>
      </c>
      <c r="Q73" s="318" t="s">
        <v>256</v>
      </c>
      <c r="R73" s="324">
        <f t="shared" si="2"/>
        <v>0</v>
      </c>
    </row>
    <row r="74" spans="1:18" ht="47.25" x14ac:dyDescent="0.2">
      <c r="A74" s="29"/>
      <c r="B74" s="30"/>
      <c r="C74" s="30"/>
      <c r="D74" s="293" t="s">
        <v>143</v>
      </c>
      <c r="E74" s="423">
        <f>G74</f>
        <v>600000</v>
      </c>
      <c r="F74" s="67">
        <v>0</v>
      </c>
      <c r="G74" s="20">
        <f>750000-150000</f>
        <v>600000</v>
      </c>
      <c r="H74" s="336" t="s">
        <v>388</v>
      </c>
      <c r="I74" s="339"/>
      <c r="J74" s="340"/>
      <c r="K74" s="20"/>
      <c r="L74" s="20"/>
      <c r="M74" s="59">
        <f>600000</f>
        <v>600000</v>
      </c>
      <c r="N74" s="399">
        <f>G74-M74-P74</f>
        <v>0</v>
      </c>
      <c r="O74" s="399">
        <v>100</v>
      </c>
      <c r="P74" s="399">
        <v>0</v>
      </c>
      <c r="Q74" s="16" t="s">
        <v>23</v>
      </c>
      <c r="R74" s="324">
        <f t="shared" si="2"/>
        <v>0</v>
      </c>
    </row>
    <row r="75" spans="1:18" ht="47.25" x14ac:dyDescent="0.2">
      <c r="A75" s="29"/>
      <c r="B75" s="30"/>
      <c r="C75" s="30"/>
      <c r="D75" s="293" t="s">
        <v>144</v>
      </c>
      <c r="E75" s="67">
        <f>G75</f>
        <v>100000</v>
      </c>
      <c r="F75" s="67">
        <v>0</v>
      </c>
      <c r="G75" s="20">
        <v>100000</v>
      </c>
      <c r="H75" s="336" t="s">
        <v>388</v>
      </c>
      <c r="I75" s="339"/>
      <c r="J75" s="340"/>
      <c r="K75" s="20"/>
      <c r="L75" s="20"/>
      <c r="M75" s="59">
        <f>48000+52000</f>
        <v>100000</v>
      </c>
      <c r="N75" s="59">
        <f>G75-M75</f>
        <v>0</v>
      </c>
      <c r="O75" s="59">
        <f>M75*100/G75</f>
        <v>100</v>
      </c>
      <c r="P75" s="59"/>
      <c r="Q75" s="16" t="s">
        <v>23</v>
      </c>
      <c r="R75" s="324">
        <f t="shared" si="2"/>
        <v>0</v>
      </c>
    </row>
    <row r="76" spans="1:18" s="320" customFormat="1" ht="22.5" customHeight="1" x14ac:dyDescent="0.2">
      <c r="A76" s="17"/>
      <c r="B76" s="670" t="s">
        <v>145</v>
      </c>
      <c r="C76" s="670"/>
      <c r="D76" s="671"/>
      <c r="E76" s="66">
        <f>F76+G76</f>
        <v>31163243.440000001</v>
      </c>
      <c r="F76" s="357">
        <f>F77+F82+F90</f>
        <v>31163243.440000001</v>
      </c>
      <c r="G76" s="108">
        <f>G77+G82+G90</f>
        <v>0</v>
      </c>
      <c r="H76" s="355"/>
      <c r="I76" s="356"/>
      <c r="J76" s="355"/>
      <c r="K76" s="108">
        <f t="shared" ref="K76:P76" si="15">K77+K82+K90</f>
        <v>31484794.440000001</v>
      </c>
      <c r="L76" s="108">
        <f t="shared" si="15"/>
        <v>0</v>
      </c>
      <c r="M76" s="357">
        <f t="shared" si="15"/>
        <v>28791592.77</v>
      </c>
      <c r="N76" s="66">
        <f t="shared" si="15"/>
        <v>2351250.0000000005</v>
      </c>
      <c r="O76" s="66">
        <f>M76*100/K76</f>
        <v>91.446024286001332</v>
      </c>
      <c r="P76" s="66">
        <f t="shared" si="15"/>
        <v>20400.669999999998</v>
      </c>
      <c r="Q76" s="21"/>
      <c r="R76" s="324">
        <f t="shared" ref="R76:R139" si="16">E76-L76-M76-N76-P76</f>
        <v>1.3242242857813835E-9</v>
      </c>
    </row>
    <row r="77" spans="1:18" s="320" customFormat="1" x14ac:dyDescent="0.2">
      <c r="A77" s="12"/>
      <c r="B77" s="13"/>
      <c r="C77" s="668" t="s">
        <v>146</v>
      </c>
      <c r="D77" s="669"/>
      <c r="E77" s="66">
        <f>F77+G77</f>
        <v>8747869</v>
      </c>
      <c r="F77" s="66">
        <f>F78+F79+F80+F81</f>
        <v>8747869</v>
      </c>
      <c r="G77" s="11">
        <f>G78+G79+G80+G81</f>
        <v>0</v>
      </c>
      <c r="H77" s="334"/>
      <c r="I77" s="335"/>
      <c r="J77" s="334"/>
      <c r="K77" s="11">
        <f t="shared" ref="K77:P77" si="17">K78+K79+K80+K81</f>
        <v>8747869</v>
      </c>
      <c r="L77" s="11">
        <f t="shared" si="17"/>
        <v>0</v>
      </c>
      <c r="M77" s="66">
        <f t="shared" si="17"/>
        <v>6396619</v>
      </c>
      <c r="N77" s="66">
        <f t="shared" si="17"/>
        <v>2351250</v>
      </c>
      <c r="O77" s="66">
        <f>M77*100/K77</f>
        <v>73.122025489865024</v>
      </c>
      <c r="P77" s="66">
        <f t="shared" si="17"/>
        <v>0</v>
      </c>
      <c r="Q77" s="21"/>
      <c r="R77" s="324">
        <f t="shared" si="16"/>
        <v>0</v>
      </c>
    </row>
    <row r="78" spans="1:18" s="320" customFormat="1" ht="66" customHeight="1" x14ac:dyDescent="0.2">
      <c r="A78" s="24"/>
      <c r="B78" s="25"/>
      <c r="C78" s="400"/>
      <c r="D78" s="19" t="s">
        <v>260</v>
      </c>
      <c r="E78" s="368">
        <f>F78</f>
        <v>0</v>
      </c>
      <c r="F78" s="528">
        <f>2863600-2863600</f>
        <v>0</v>
      </c>
      <c r="G78" s="15">
        <v>0</v>
      </c>
      <c r="H78" s="401" t="s">
        <v>268</v>
      </c>
      <c r="I78" s="337"/>
      <c r="J78" s="338"/>
      <c r="K78" s="15"/>
      <c r="L78" s="15"/>
      <c r="M78" s="58"/>
      <c r="N78" s="58">
        <v>0</v>
      </c>
      <c r="O78" s="58">
        <v>0</v>
      </c>
      <c r="P78" s="58"/>
      <c r="Q78" s="21" t="s">
        <v>24</v>
      </c>
      <c r="R78" s="324">
        <f t="shared" si="16"/>
        <v>0</v>
      </c>
    </row>
    <row r="79" spans="1:18" s="320" customFormat="1" ht="63" x14ac:dyDescent="0.2">
      <c r="A79" s="12"/>
      <c r="B79" s="13"/>
      <c r="C79" s="316"/>
      <c r="D79" s="293" t="s">
        <v>261</v>
      </c>
      <c r="E79" s="368">
        <f>F79</f>
        <v>4275000</v>
      </c>
      <c r="F79" s="67">
        <f>4684400-409400</f>
        <v>4275000</v>
      </c>
      <c r="G79" s="20">
        <v>0</v>
      </c>
      <c r="H79" s="226" t="s">
        <v>362</v>
      </c>
      <c r="I79" s="358" t="s">
        <v>385</v>
      </c>
      <c r="J79" s="402" t="s">
        <v>307</v>
      </c>
      <c r="K79" s="20">
        <v>4275000</v>
      </c>
      <c r="L79" s="20">
        <f>F79-K79</f>
        <v>0</v>
      </c>
      <c r="M79" s="59">
        <f>641250+641250+641250</f>
        <v>1923750</v>
      </c>
      <c r="N79" s="58">
        <f>K79-M79</f>
        <v>2351250</v>
      </c>
      <c r="O79" s="58">
        <f>M79*100/K79</f>
        <v>45</v>
      </c>
      <c r="P79" s="58"/>
      <c r="Q79" s="16" t="s">
        <v>25</v>
      </c>
      <c r="R79" s="324">
        <f t="shared" si="16"/>
        <v>0</v>
      </c>
    </row>
    <row r="80" spans="1:18" ht="63" x14ac:dyDescent="0.2">
      <c r="A80" s="29"/>
      <c r="B80" s="30"/>
      <c r="C80" s="30"/>
      <c r="D80" s="32" t="s">
        <v>262</v>
      </c>
      <c r="E80" s="368">
        <f>F80</f>
        <v>2095869</v>
      </c>
      <c r="F80" s="67">
        <f>3381000-954700-297300-33131</f>
        <v>2095869</v>
      </c>
      <c r="G80" s="15">
        <v>0</v>
      </c>
      <c r="H80" s="226" t="s">
        <v>388</v>
      </c>
      <c r="I80" s="358" t="s">
        <v>384</v>
      </c>
      <c r="J80" s="342" t="s">
        <v>309</v>
      </c>
      <c r="K80" s="15">
        <f>2129000-33131</f>
        <v>2095869</v>
      </c>
      <c r="L80" s="20"/>
      <c r="M80" s="58">
        <v>2095869</v>
      </c>
      <c r="N80" s="58">
        <f>K80-M80</f>
        <v>0</v>
      </c>
      <c r="O80" s="58">
        <v>100</v>
      </c>
      <c r="P80" s="58">
        <v>0</v>
      </c>
      <c r="Q80" s="21" t="s">
        <v>24</v>
      </c>
      <c r="R80" s="324">
        <f t="shared" si="16"/>
        <v>0</v>
      </c>
    </row>
    <row r="81" spans="1:18" ht="63" x14ac:dyDescent="0.2">
      <c r="A81" s="29"/>
      <c r="B81" s="30"/>
      <c r="C81" s="30"/>
      <c r="D81" s="32" t="s">
        <v>263</v>
      </c>
      <c r="E81" s="368">
        <f>F81</f>
        <v>2377000</v>
      </c>
      <c r="F81" s="67">
        <f>2476500-99500</f>
        <v>2377000</v>
      </c>
      <c r="G81" s="20">
        <v>0</v>
      </c>
      <c r="H81" s="226" t="s">
        <v>388</v>
      </c>
      <c r="I81" s="358" t="s">
        <v>383</v>
      </c>
      <c r="J81" s="402" t="s">
        <v>311</v>
      </c>
      <c r="K81" s="20">
        <v>2377000</v>
      </c>
      <c r="L81" s="20">
        <f>F81-K81</f>
        <v>0</v>
      </c>
      <c r="M81" s="59">
        <v>2377000</v>
      </c>
      <c r="N81" s="58">
        <f>K81-M81</f>
        <v>0</v>
      </c>
      <c r="O81" s="58">
        <f>M81*100/K81</f>
        <v>100</v>
      </c>
      <c r="P81" s="58"/>
      <c r="Q81" s="21" t="s">
        <v>27</v>
      </c>
      <c r="R81" s="324">
        <f t="shared" si="16"/>
        <v>0</v>
      </c>
    </row>
    <row r="82" spans="1:18" s="320" customFormat="1" ht="42.75" customHeight="1" x14ac:dyDescent="0.2">
      <c r="A82" s="12"/>
      <c r="B82" s="13"/>
      <c r="C82" s="668" t="s">
        <v>147</v>
      </c>
      <c r="D82" s="669"/>
      <c r="E82" s="66">
        <f>F82+G82</f>
        <v>17310999.440000001</v>
      </c>
      <c r="F82" s="66">
        <f>F83+F84+F85+F86+F87+F88+F89</f>
        <v>17310999.440000001</v>
      </c>
      <c r="G82" s="11">
        <f>G83+G84+G85+G86+G87+G88+G89</f>
        <v>0</v>
      </c>
      <c r="H82" s="334"/>
      <c r="I82" s="335"/>
      <c r="J82" s="334"/>
      <c r="K82" s="11">
        <f t="shared" ref="K82:P82" si="18">K83+K84+K85+K86+K87+K88+K89</f>
        <v>17340825.440000001</v>
      </c>
      <c r="L82" s="11">
        <f t="shared" si="18"/>
        <v>0</v>
      </c>
      <c r="M82" s="66">
        <f t="shared" si="18"/>
        <v>17290599.66</v>
      </c>
      <c r="N82" s="66">
        <f t="shared" si="18"/>
        <v>2.6193447411060333E-10</v>
      </c>
      <c r="O82" s="66">
        <v>100</v>
      </c>
      <c r="P82" s="66">
        <f t="shared" si="18"/>
        <v>20399.78</v>
      </c>
      <c r="Q82" s="21"/>
      <c r="R82" s="324">
        <f t="shared" si="16"/>
        <v>9.3132257461547852E-10</v>
      </c>
    </row>
    <row r="83" spans="1:18" ht="60.75" customHeight="1" x14ac:dyDescent="0.2">
      <c r="A83" s="27"/>
      <c r="B83" s="28"/>
      <c r="C83" s="28"/>
      <c r="D83" s="19" t="s">
        <v>244</v>
      </c>
      <c r="E83" s="67">
        <f>F83</f>
        <v>2355841</v>
      </c>
      <c r="F83" s="67">
        <f>2401000-11000-34159</f>
        <v>2355841</v>
      </c>
      <c r="G83" s="20">
        <v>0</v>
      </c>
      <c r="H83" s="226" t="s">
        <v>388</v>
      </c>
      <c r="I83" s="358" t="s">
        <v>382</v>
      </c>
      <c r="J83" s="342" t="s">
        <v>313</v>
      </c>
      <c r="K83" s="20">
        <f>2390000-34159</f>
        <v>2355841</v>
      </c>
      <c r="L83" s="20">
        <f t="shared" ref="L83:L88" si="19">F83-K83</f>
        <v>0</v>
      </c>
      <c r="M83" s="59">
        <v>2355841</v>
      </c>
      <c r="N83" s="59">
        <v>0</v>
      </c>
      <c r="O83" s="59">
        <v>100</v>
      </c>
      <c r="P83" s="59">
        <f>K83-M83</f>
        <v>0</v>
      </c>
      <c r="Q83" s="403" t="s">
        <v>28</v>
      </c>
      <c r="R83" s="324">
        <f t="shared" si="16"/>
        <v>0</v>
      </c>
    </row>
    <row r="84" spans="1:18" ht="69" x14ac:dyDescent="0.2">
      <c r="A84" s="29"/>
      <c r="B84" s="30"/>
      <c r="C84" s="30"/>
      <c r="D84" s="32" t="s">
        <v>264</v>
      </c>
      <c r="E84" s="67">
        <f t="shared" ref="E84:E89" si="20">F84</f>
        <v>2303000</v>
      </c>
      <c r="F84" s="67">
        <v>2303000</v>
      </c>
      <c r="G84" s="15">
        <v>0</v>
      </c>
      <c r="H84" s="226" t="s">
        <v>388</v>
      </c>
      <c r="I84" s="358" t="s">
        <v>467</v>
      </c>
      <c r="J84" s="342" t="s">
        <v>313</v>
      </c>
      <c r="K84" s="15">
        <v>2303000</v>
      </c>
      <c r="L84" s="20">
        <f t="shared" si="19"/>
        <v>0</v>
      </c>
      <c r="M84" s="58">
        <v>2303000</v>
      </c>
      <c r="N84" s="59">
        <f>F84-M84</f>
        <v>0</v>
      </c>
      <c r="O84" s="59">
        <f>M84*100/K84</f>
        <v>100</v>
      </c>
      <c r="P84" s="58"/>
      <c r="Q84" s="404" t="s">
        <v>26</v>
      </c>
      <c r="R84" s="324">
        <f t="shared" si="16"/>
        <v>0</v>
      </c>
    </row>
    <row r="85" spans="1:18" ht="63" customHeight="1" x14ac:dyDescent="0.2">
      <c r="A85" s="29"/>
      <c r="B85" s="30"/>
      <c r="C85" s="30"/>
      <c r="D85" s="405" t="s">
        <v>373</v>
      </c>
      <c r="E85" s="67">
        <f t="shared" si="20"/>
        <v>2331348.12</v>
      </c>
      <c r="F85" s="67">
        <f>2401000-11000-58651.88</f>
        <v>2331348.12</v>
      </c>
      <c r="G85" s="20">
        <v>0</v>
      </c>
      <c r="H85" s="226" t="s">
        <v>388</v>
      </c>
      <c r="I85" s="358" t="s">
        <v>382</v>
      </c>
      <c r="J85" s="342" t="s">
        <v>313</v>
      </c>
      <c r="K85" s="20">
        <f>2390000-58651.88</f>
        <v>2331348.12</v>
      </c>
      <c r="L85" s="20">
        <f t="shared" si="19"/>
        <v>0</v>
      </c>
      <c r="M85" s="59">
        <v>2331348.12</v>
      </c>
      <c r="N85" s="59">
        <v>0</v>
      </c>
      <c r="O85" s="59">
        <v>100</v>
      </c>
      <c r="P85" s="59">
        <v>0</v>
      </c>
      <c r="Q85" s="403" t="s">
        <v>28</v>
      </c>
      <c r="R85" s="324">
        <f t="shared" si="16"/>
        <v>0</v>
      </c>
    </row>
    <row r="86" spans="1:18" ht="72" customHeight="1" x14ac:dyDescent="0.2">
      <c r="A86" s="29"/>
      <c r="B86" s="30"/>
      <c r="C86" s="30"/>
      <c r="D86" s="405" t="s">
        <v>439</v>
      </c>
      <c r="E86" s="67">
        <f t="shared" si="20"/>
        <v>2370477.66</v>
      </c>
      <c r="F86" s="67">
        <f>2401000-11000-19522.34</f>
        <v>2370477.66</v>
      </c>
      <c r="G86" s="20">
        <v>0</v>
      </c>
      <c r="H86" s="226" t="s">
        <v>388</v>
      </c>
      <c r="I86" s="358" t="s">
        <v>319</v>
      </c>
      <c r="J86" s="342" t="s">
        <v>313</v>
      </c>
      <c r="K86" s="20">
        <f>2390000-19522.34</f>
        <v>2370477.66</v>
      </c>
      <c r="L86" s="20">
        <f t="shared" si="19"/>
        <v>0</v>
      </c>
      <c r="M86" s="59">
        <v>2370477.66</v>
      </c>
      <c r="N86" s="59">
        <v>0</v>
      </c>
      <c r="O86" s="59">
        <v>100</v>
      </c>
      <c r="P86" s="59">
        <f>K86-M86</f>
        <v>0</v>
      </c>
      <c r="Q86" s="403" t="s">
        <v>28</v>
      </c>
      <c r="R86" s="324">
        <f t="shared" si="16"/>
        <v>0</v>
      </c>
    </row>
    <row r="87" spans="1:18" ht="69" x14ac:dyDescent="0.2">
      <c r="A87" s="29"/>
      <c r="B87" s="30"/>
      <c r="C87" s="30"/>
      <c r="D87" s="32" t="s">
        <v>265</v>
      </c>
      <c r="E87" s="67">
        <f t="shared" si="20"/>
        <v>2790000</v>
      </c>
      <c r="F87" s="67">
        <f>3724000-934000</f>
        <v>2790000</v>
      </c>
      <c r="G87" s="15">
        <v>0</v>
      </c>
      <c r="H87" s="226" t="s">
        <v>388</v>
      </c>
      <c r="I87" s="358" t="s">
        <v>471</v>
      </c>
      <c r="J87" s="342" t="s">
        <v>313</v>
      </c>
      <c r="K87" s="58">
        <v>2790000</v>
      </c>
      <c r="L87" s="20">
        <f t="shared" si="19"/>
        <v>0</v>
      </c>
      <c r="M87" s="58">
        <f>1095600.22+1674000</f>
        <v>2769600.2199999997</v>
      </c>
      <c r="N87" s="59">
        <f>F87-M87-P87</f>
        <v>2.6193447411060333E-10</v>
      </c>
      <c r="O87" s="59">
        <v>100</v>
      </c>
      <c r="P87" s="58">
        <v>20399.78</v>
      </c>
      <c r="Q87" s="404" t="s">
        <v>25</v>
      </c>
      <c r="R87" s="324">
        <f t="shared" si="16"/>
        <v>0</v>
      </c>
    </row>
    <row r="88" spans="1:18" ht="63" customHeight="1" x14ac:dyDescent="0.2">
      <c r="A88" s="29"/>
      <c r="B88" s="30"/>
      <c r="C88" s="30"/>
      <c r="D88" s="405" t="s">
        <v>188</v>
      </c>
      <c r="E88" s="67">
        <f t="shared" si="20"/>
        <v>2355158.66</v>
      </c>
      <c r="F88" s="67">
        <f>2401000-11000-34841.34</f>
        <v>2355158.66</v>
      </c>
      <c r="G88" s="20">
        <v>0</v>
      </c>
      <c r="H88" s="226" t="s">
        <v>388</v>
      </c>
      <c r="I88" s="358" t="s">
        <v>382</v>
      </c>
      <c r="J88" s="402" t="s">
        <v>313</v>
      </c>
      <c r="K88" s="59">
        <f>2390000-34841.34</f>
        <v>2355158.66</v>
      </c>
      <c r="L88" s="20">
        <f t="shared" si="19"/>
        <v>0</v>
      </c>
      <c r="M88" s="59">
        <v>2355158.66</v>
      </c>
      <c r="N88" s="59">
        <v>0</v>
      </c>
      <c r="O88" s="59">
        <v>100</v>
      </c>
      <c r="P88" s="59">
        <v>0</v>
      </c>
      <c r="Q88" s="403" t="s">
        <v>28</v>
      </c>
      <c r="R88" s="324">
        <f t="shared" si="16"/>
        <v>0</v>
      </c>
    </row>
    <row r="89" spans="1:18" ht="112.5" x14ac:dyDescent="0.2">
      <c r="A89" s="29"/>
      <c r="B89" s="30"/>
      <c r="C89" s="30"/>
      <c r="D89" s="405" t="s">
        <v>189</v>
      </c>
      <c r="E89" s="67">
        <f t="shared" si="20"/>
        <v>2805174</v>
      </c>
      <c r="F89" s="368">
        <f>2940000-105000-29826</f>
        <v>2805174</v>
      </c>
      <c r="G89" s="15">
        <v>0</v>
      </c>
      <c r="H89" s="226" t="s">
        <v>388</v>
      </c>
      <c r="I89" s="358" t="s">
        <v>381</v>
      </c>
      <c r="J89" s="342" t="s">
        <v>316</v>
      </c>
      <c r="K89" s="58">
        <v>2835000</v>
      </c>
      <c r="L89" s="20">
        <v>0</v>
      </c>
      <c r="M89" s="58">
        <f>678924+708750+708750+708750</f>
        <v>2805174</v>
      </c>
      <c r="N89" s="59">
        <f>F89-M89-P89</f>
        <v>0</v>
      </c>
      <c r="O89" s="59">
        <v>100</v>
      </c>
      <c r="P89" s="59">
        <v>0</v>
      </c>
      <c r="Q89" s="403" t="s">
        <v>27</v>
      </c>
      <c r="R89" s="324">
        <f t="shared" si="16"/>
        <v>0</v>
      </c>
    </row>
    <row r="90" spans="1:18" s="320" customFormat="1" ht="24" customHeight="1" x14ac:dyDescent="0.2">
      <c r="A90" s="12"/>
      <c r="B90" s="13"/>
      <c r="C90" s="668" t="s">
        <v>148</v>
      </c>
      <c r="D90" s="669"/>
      <c r="E90" s="66">
        <f>F90+G90</f>
        <v>5104375</v>
      </c>
      <c r="F90" s="66">
        <f>F91+F92+F93+F94+F95</f>
        <v>5104375</v>
      </c>
      <c r="G90" s="11">
        <f>G91+G92+G93+G94</f>
        <v>0</v>
      </c>
      <c r="H90" s="334"/>
      <c r="I90" s="335"/>
      <c r="J90" s="334"/>
      <c r="K90" s="11">
        <f>K91+K92+K93+K94</f>
        <v>5396100</v>
      </c>
      <c r="L90" s="11">
        <f>L91+L92+L93+L94</f>
        <v>0</v>
      </c>
      <c r="M90" s="66">
        <f>M91+M92+M93+M94</f>
        <v>5104374.1100000003</v>
      </c>
      <c r="N90" s="66">
        <f>N91+N92+N93+N94+N95</f>
        <v>0</v>
      </c>
      <c r="O90" s="66">
        <v>100</v>
      </c>
      <c r="P90" s="66">
        <f>P91+P92+P93+P94+P95</f>
        <v>0.89</v>
      </c>
      <c r="Q90" s="21"/>
      <c r="R90" s="324">
        <f t="shared" si="16"/>
        <v>-3.3527614018424856E-10</v>
      </c>
    </row>
    <row r="91" spans="1:18" ht="56.25" x14ac:dyDescent="0.2">
      <c r="A91" s="29"/>
      <c r="B91" s="30"/>
      <c r="C91" s="30"/>
      <c r="D91" s="293" t="s">
        <v>190</v>
      </c>
      <c r="E91" s="67">
        <f>F91</f>
        <v>850800</v>
      </c>
      <c r="F91" s="67">
        <f>852600-1800</f>
        <v>850800</v>
      </c>
      <c r="G91" s="20">
        <v>0</v>
      </c>
      <c r="H91" s="226" t="s">
        <v>388</v>
      </c>
      <c r="I91" s="358" t="s">
        <v>317</v>
      </c>
      <c r="J91" s="402" t="s">
        <v>318</v>
      </c>
      <c r="K91" s="20">
        <v>850800</v>
      </c>
      <c r="L91" s="20">
        <f>F91-K91</f>
        <v>0</v>
      </c>
      <c r="M91" s="59">
        <v>850800</v>
      </c>
      <c r="N91" s="59">
        <f>K91-M91</f>
        <v>0</v>
      </c>
      <c r="O91" s="59">
        <f>M91*100/K91</f>
        <v>100</v>
      </c>
      <c r="P91" s="59"/>
      <c r="Q91" s="21" t="s">
        <v>24</v>
      </c>
      <c r="R91" s="324">
        <f t="shared" si="16"/>
        <v>0</v>
      </c>
    </row>
    <row r="92" spans="1:18" ht="51.75" x14ac:dyDescent="0.2">
      <c r="A92" s="29"/>
      <c r="B92" s="30"/>
      <c r="C92" s="30"/>
      <c r="D92" s="32" t="s">
        <v>191</v>
      </c>
      <c r="E92" s="67">
        <f>F92</f>
        <v>1593275</v>
      </c>
      <c r="F92" s="67">
        <f>3780400-1895400-291725</f>
        <v>1593275</v>
      </c>
      <c r="G92" s="20">
        <v>0</v>
      </c>
      <c r="H92" s="226" t="s">
        <v>388</v>
      </c>
      <c r="I92" s="358" t="s">
        <v>380</v>
      </c>
      <c r="J92" s="402" t="s">
        <v>321</v>
      </c>
      <c r="K92" s="20">
        <v>1885000</v>
      </c>
      <c r="L92" s="20">
        <v>0</v>
      </c>
      <c r="M92" s="59">
        <v>1593274.11</v>
      </c>
      <c r="N92" s="59">
        <v>0</v>
      </c>
      <c r="O92" s="59">
        <v>100</v>
      </c>
      <c r="P92" s="59">
        <v>0.89</v>
      </c>
      <c r="Q92" s="21" t="s">
        <v>24</v>
      </c>
      <c r="R92" s="324">
        <f t="shared" si="16"/>
        <v>-1.0244549653037893E-10</v>
      </c>
    </row>
    <row r="93" spans="1:18" ht="56.25" x14ac:dyDescent="0.2">
      <c r="A93" s="31"/>
      <c r="B93" s="4"/>
      <c r="C93" s="4"/>
      <c r="D93" s="406" t="s">
        <v>192</v>
      </c>
      <c r="E93" s="67">
        <f>F93</f>
        <v>1450000</v>
      </c>
      <c r="F93" s="67">
        <f>1654200-204200</f>
        <v>1450000</v>
      </c>
      <c r="G93" s="15">
        <v>0</v>
      </c>
      <c r="H93" s="226" t="s">
        <v>388</v>
      </c>
      <c r="I93" s="407" t="s">
        <v>379</v>
      </c>
      <c r="J93" s="402" t="s">
        <v>318</v>
      </c>
      <c r="K93" s="15">
        <v>1450000</v>
      </c>
      <c r="L93" s="15">
        <f>F93-K93</f>
        <v>0</v>
      </c>
      <c r="M93" s="58">
        <v>1450000</v>
      </c>
      <c r="N93" s="59">
        <f>F93-M93</f>
        <v>0</v>
      </c>
      <c r="O93" s="59">
        <f>M93*100/K93</f>
        <v>100</v>
      </c>
      <c r="P93" s="58"/>
      <c r="Q93" s="26" t="s">
        <v>28</v>
      </c>
      <c r="R93" s="324">
        <f t="shared" si="16"/>
        <v>0</v>
      </c>
    </row>
    <row r="94" spans="1:18" ht="56.25" x14ac:dyDescent="0.2">
      <c r="A94" s="29"/>
      <c r="B94" s="30"/>
      <c r="C94" s="30"/>
      <c r="D94" s="32" t="s">
        <v>193</v>
      </c>
      <c r="E94" s="67">
        <f>F94</f>
        <v>1210300</v>
      </c>
      <c r="F94" s="67">
        <f>1211300-1000</f>
        <v>1210300</v>
      </c>
      <c r="G94" s="15">
        <v>0</v>
      </c>
      <c r="H94" s="226" t="s">
        <v>388</v>
      </c>
      <c r="I94" s="407" t="s">
        <v>379</v>
      </c>
      <c r="J94" s="402" t="s">
        <v>318</v>
      </c>
      <c r="K94" s="15">
        <v>1210300</v>
      </c>
      <c r="L94" s="15">
        <f>F94-K94</f>
        <v>0</v>
      </c>
      <c r="M94" s="58">
        <v>1210300</v>
      </c>
      <c r="N94" s="59">
        <f>F94-M94</f>
        <v>0</v>
      </c>
      <c r="O94" s="59">
        <f>M94*100/K94</f>
        <v>100</v>
      </c>
      <c r="P94" s="59"/>
      <c r="Q94" s="21" t="s">
        <v>28</v>
      </c>
      <c r="R94" s="324">
        <f t="shared" si="16"/>
        <v>0</v>
      </c>
    </row>
    <row r="95" spans="1:18" ht="42" x14ac:dyDescent="0.2">
      <c r="A95" s="29"/>
      <c r="B95" s="30"/>
      <c r="C95" s="30"/>
      <c r="D95" s="32" t="s">
        <v>194</v>
      </c>
      <c r="E95" s="67">
        <f>F95</f>
        <v>0</v>
      </c>
      <c r="F95" s="529">
        <f>736500-736500</f>
        <v>0</v>
      </c>
      <c r="G95" s="408">
        <v>0</v>
      </c>
      <c r="H95" s="257" t="s">
        <v>268</v>
      </c>
      <c r="I95" s="409"/>
      <c r="J95" s="410"/>
      <c r="K95" s="411"/>
      <c r="L95" s="411"/>
      <c r="M95" s="412"/>
      <c r="N95" s="67">
        <v>0</v>
      </c>
      <c r="O95" s="59">
        <v>0</v>
      </c>
      <c r="P95" s="59"/>
      <c r="Q95" s="21" t="s">
        <v>27</v>
      </c>
      <c r="R95" s="324">
        <f t="shared" si="16"/>
        <v>0</v>
      </c>
    </row>
    <row r="96" spans="1:18" s="320" customFormat="1" x14ac:dyDescent="0.2">
      <c r="A96" s="17"/>
      <c r="B96" s="670" t="s">
        <v>149</v>
      </c>
      <c r="C96" s="670"/>
      <c r="D96" s="671"/>
      <c r="E96" s="357">
        <f>F96+G96</f>
        <v>47544704</v>
      </c>
      <c r="F96" s="357">
        <f>F97</f>
        <v>47544704</v>
      </c>
      <c r="G96" s="108">
        <f>G97</f>
        <v>0</v>
      </c>
      <c r="H96" s="355"/>
      <c r="I96" s="356"/>
      <c r="J96" s="355"/>
      <c r="K96" s="108">
        <f t="shared" ref="K96:P96" si="21">K97</f>
        <v>51322625</v>
      </c>
      <c r="L96" s="108">
        <f t="shared" si="21"/>
        <v>0</v>
      </c>
      <c r="M96" s="357">
        <f t="shared" si="21"/>
        <v>47544703.519999996</v>
      </c>
      <c r="N96" s="357">
        <f t="shared" si="21"/>
        <v>0</v>
      </c>
      <c r="O96" s="357">
        <v>100</v>
      </c>
      <c r="P96" s="357">
        <f t="shared" si="21"/>
        <v>0.48</v>
      </c>
      <c r="Q96" s="21"/>
      <c r="R96" s="324">
        <f t="shared" si="16"/>
        <v>4.1723251520409121E-9</v>
      </c>
    </row>
    <row r="97" spans="1:19" s="320" customFormat="1" x14ac:dyDescent="0.2">
      <c r="A97" s="24"/>
      <c r="B97" s="25"/>
      <c r="C97" s="676" t="s">
        <v>150</v>
      </c>
      <c r="D97" s="677"/>
      <c r="E97" s="66">
        <f>F97+G97</f>
        <v>47544704</v>
      </c>
      <c r="F97" s="66">
        <f>F98+F99+F100+F101+F102</f>
        <v>47544704</v>
      </c>
      <c r="G97" s="11">
        <f>G98+G99+G100+G101+G102</f>
        <v>0</v>
      </c>
      <c r="H97" s="334"/>
      <c r="I97" s="335"/>
      <c r="J97" s="334"/>
      <c r="K97" s="11">
        <f t="shared" ref="K97:P97" si="22">K98+K99+K100+K101+K102</f>
        <v>51322625</v>
      </c>
      <c r="L97" s="11">
        <f t="shared" si="22"/>
        <v>0</v>
      </c>
      <c r="M97" s="66">
        <f t="shared" si="22"/>
        <v>47544703.519999996</v>
      </c>
      <c r="N97" s="66">
        <f t="shared" si="22"/>
        <v>0</v>
      </c>
      <c r="O97" s="66">
        <v>100</v>
      </c>
      <c r="P97" s="66">
        <f t="shared" si="22"/>
        <v>0.48</v>
      </c>
      <c r="Q97" s="21"/>
      <c r="R97" s="324">
        <f t="shared" si="16"/>
        <v>4.1723251520409121E-9</v>
      </c>
    </row>
    <row r="98" spans="1:19" ht="51.75" x14ac:dyDescent="0.2">
      <c r="A98" s="29"/>
      <c r="B98" s="30"/>
      <c r="C98" s="30"/>
      <c r="D98" s="293" t="s">
        <v>195</v>
      </c>
      <c r="E98" s="368">
        <f>F98</f>
        <v>6985958.5</v>
      </c>
      <c r="F98" s="368">
        <f>9900000-2000-2912041.5</f>
        <v>6985958.5</v>
      </c>
      <c r="G98" s="20">
        <v>0</v>
      </c>
      <c r="H98" s="257" t="s">
        <v>388</v>
      </c>
      <c r="I98" s="358" t="s">
        <v>422</v>
      </c>
      <c r="J98" s="226" t="s">
        <v>367</v>
      </c>
      <c r="K98" s="15">
        <v>9898000</v>
      </c>
      <c r="L98" s="15">
        <v>0</v>
      </c>
      <c r="M98" s="58">
        <v>6985958.5</v>
      </c>
      <c r="N98" s="58">
        <v>0</v>
      </c>
      <c r="O98" s="58">
        <v>100</v>
      </c>
      <c r="P98" s="58">
        <v>0</v>
      </c>
      <c r="Q98" s="319" t="s">
        <v>29</v>
      </c>
      <c r="R98" s="324">
        <f t="shared" si="16"/>
        <v>0</v>
      </c>
      <c r="S98" s="325">
        <f>R98*100/G7</f>
        <v>0</v>
      </c>
    </row>
    <row r="99" spans="1:19" ht="63" x14ac:dyDescent="0.2">
      <c r="A99" s="29"/>
      <c r="B99" s="30"/>
      <c r="C99" s="30"/>
      <c r="D99" s="293" t="s">
        <v>196</v>
      </c>
      <c r="E99" s="368">
        <f>F99</f>
        <v>11873770</v>
      </c>
      <c r="F99" s="67">
        <f>11880000-6230</f>
        <v>11873770</v>
      </c>
      <c r="G99" s="20">
        <v>0</v>
      </c>
      <c r="H99" s="257" t="s">
        <v>388</v>
      </c>
      <c r="I99" s="358" t="s">
        <v>423</v>
      </c>
      <c r="J99" s="226" t="s">
        <v>367</v>
      </c>
      <c r="K99" s="20">
        <v>11873770</v>
      </c>
      <c r="L99" s="15">
        <f>F99-K99</f>
        <v>0</v>
      </c>
      <c r="M99" s="59">
        <v>11873770</v>
      </c>
      <c r="N99" s="58">
        <f>K99-M99</f>
        <v>0</v>
      </c>
      <c r="O99" s="58">
        <f>M99*100/K99</f>
        <v>100</v>
      </c>
      <c r="P99" s="58"/>
      <c r="Q99" s="16" t="s">
        <v>29</v>
      </c>
      <c r="R99" s="324">
        <f t="shared" si="16"/>
        <v>0</v>
      </c>
    </row>
    <row r="100" spans="1:19" ht="51.75" x14ac:dyDescent="0.2">
      <c r="A100" s="29"/>
      <c r="B100" s="30"/>
      <c r="C100" s="30"/>
      <c r="D100" s="293" t="s">
        <v>197</v>
      </c>
      <c r="E100" s="368">
        <f>F100</f>
        <v>9768522.5</v>
      </c>
      <c r="F100" s="67">
        <f>9900000-15665-115812.5</f>
        <v>9768522.5</v>
      </c>
      <c r="G100" s="20">
        <v>0</v>
      </c>
      <c r="H100" s="257" t="s">
        <v>388</v>
      </c>
      <c r="I100" s="358" t="s">
        <v>422</v>
      </c>
      <c r="J100" s="226" t="s">
        <v>367</v>
      </c>
      <c r="K100" s="413">
        <v>9884335</v>
      </c>
      <c r="L100" s="15"/>
      <c r="M100" s="58">
        <v>9768522.5</v>
      </c>
      <c r="N100" s="58"/>
      <c r="O100" s="58">
        <v>100</v>
      </c>
      <c r="P100" s="58"/>
      <c r="Q100" s="319" t="s">
        <v>29</v>
      </c>
      <c r="R100" s="324">
        <f t="shared" si="16"/>
        <v>0</v>
      </c>
    </row>
    <row r="101" spans="1:19" ht="51.75" x14ac:dyDescent="0.2">
      <c r="A101" s="29"/>
      <c r="B101" s="30"/>
      <c r="C101" s="30"/>
      <c r="D101" s="293" t="s">
        <v>151</v>
      </c>
      <c r="E101" s="368">
        <f>F101</f>
        <v>4147553</v>
      </c>
      <c r="F101" s="67">
        <f>4900000-2380-750067</f>
        <v>4147553</v>
      </c>
      <c r="G101" s="20">
        <v>0</v>
      </c>
      <c r="H101" s="257" t="s">
        <v>388</v>
      </c>
      <c r="I101" s="358" t="s">
        <v>422</v>
      </c>
      <c r="J101" s="226" t="s">
        <v>367</v>
      </c>
      <c r="K101" s="20">
        <v>4897620</v>
      </c>
      <c r="L101" s="15"/>
      <c r="M101" s="59">
        <v>4147552.52</v>
      </c>
      <c r="N101" s="58"/>
      <c r="O101" s="58">
        <v>100</v>
      </c>
      <c r="P101" s="58">
        <v>0.48</v>
      </c>
      <c r="Q101" s="16" t="s">
        <v>29</v>
      </c>
      <c r="R101" s="324">
        <f t="shared" si="16"/>
        <v>-1.8626433728741176E-11</v>
      </c>
    </row>
    <row r="102" spans="1:19" ht="51.75" x14ac:dyDescent="0.2">
      <c r="A102" s="29"/>
      <c r="B102" s="30"/>
      <c r="C102" s="30"/>
      <c r="D102" s="293" t="s">
        <v>198</v>
      </c>
      <c r="E102" s="368">
        <f>F102</f>
        <v>14768900</v>
      </c>
      <c r="F102" s="67">
        <f>14850000-81100</f>
        <v>14768900</v>
      </c>
      <c r="G102" s="20">
        <v>0</v>
      </c>
      <c r="H102" s="257" t="s">
        <v>388</v>
      </c>
      <c r="I102" s="358" t="s">
        <v>423</v>
      </c>
      <c r="J102" s="226" t="s">
        <v>367</v>
      </c>
      <c r="K102" s="20">
        <f>14768000+900</f>
        <v>14768900</v>
      </c>
      <c r="L102" s="15">
        <f>F102-K102</f>
        <v>0</v>
      </c>
      <c r="M102" s="59">
        <v>14768900</v>
      </c>
      <c r="N102" s="58">
        <f>K102-M102</f>
        <v>0</v>
      </c>
      <c r="O102" s="58">
        <f>M102*100/K102</f>
        <v>100</v>
      </c>
      <c r="P102" s="58"/>
      <c r="Q102" s="16" t="s">
        <v>29</v>
      </c>
      <c r="R102" s="324">
        <f t="shared" si="16"/>
        <v>0</v>
      </c>
    </row>
    <row r="103" spans="1:19" s="320" customFormat="1" ht="22.5" customHeight="1" x14ac:dyDescent="0.2">
      <c r="A103" s="17"/>
      <c r="B103" s="670" t="s">
        <v>152</v>
      </c>
      <c r="C103" s="670"/>
      <c r="D103" s="671"/>
      <c r="E103" s="357">
        <f>F103+G103</f>
        <v>5741900</v>
      </c>
      <c r="F103" s="357">
        <f>F104+F106+F111</f>
        <v>1990900</v>
      </c>
      <c r="G103" s="108">
        <f>G104+G106+G111</f>
        <v>3751000</v>
      </c>
      <c r="H103" s="355"/>
      <c r="I103" s="356"/>
      <c r="J103" s="355"/>
      <c r="K103" s="108">
        <f t="shared" ref="K103:P103" si="23">K104+K106+K111</f>
        <v>1980000</v>
      </c>
      <c r="L103" s="108">
        <f t="shared" si="23"/>
        <v>0</v>
      </c>
      <c r="M103" s="357">
        <f t="shared" si="23"/>
        <v>3274614.8</v>
      </c>
      <c r="N103" s="357">
        <f t="shared" si="23"/>
        <v>2456385.2000000002</v>
      </c>
      <c r="O103" s="357">
        <f>M103*100/E103</f>
        <v>57.0301607481844</v>
      </c>
      <c r="P103" s="357">
        <f t="shared" si="23"/>
        <v>10900</v>
      </c>
      <c r="Q103" s="21"/>
      <c r="R103" s="324">
        <f t="shared" si="16"/>
        <v>0</v>
      </c>
    </row>
    <row r="104" spans="1:19" s="320" customFormat="1" ht="44.25" customHeight="1" x14ac:dyDescent="0.2">
      <c r="A104" s="12"/>
      <c r="B104" s="13"/>
      <c r="C104" s="668" t="s">
        <v>153</v>
      </c>
      <c r="D104" s="669"/>
      <c r="E104" s="66">
        <f>F104+G104</f>
        <v>915500</v>
      </c>
      <c r="F104" s="66">
        <f>F105</f>
        <v>0</v>
      </c>
      <c r="G104" s="11">
        <f>G105</f>
        <v>915500</v>
      </c>
      <c r="H104" s="334"/>
      <c r="I104" s="335"/>
      <c r="J104" s="334"/>
      <c r="K104" s="11">
        <f t="shared" ref="K104:P104" si="24">K105</f>
        <v>0</v>
      </c>
      <c r="L104" s="11">
        <f t="shared" si="24"/>
        <v>0</v>
      </c>
      <c r="M104" s="66">
        <f t="shared" si="24"/>
        <v>886900</v>
      </c>
      <c r="N104" s="66">
        <f t="shared" si="24"/>
        <v>28600</v>
      </c>
      <c r="O104" s="66">
        <f>M104*100/G104</f>
        <v>96.876024030584375</v>
      </c>
      <c r="P104" s="66">
        <f t="shared" si="24"/>
        <v>0</v>
      </c>
      <c r="Q104" s="21"/>
      <c r="R104" s="324">
        <f t="shared" si="16"/>
        <v>0</v>
      </c>
    </row>
    <row r="105" spans="1:19" s="320" customFormat="1" ht="63" x14ac:dyDescent="0.2">
      <c r="A105" s="12"/>
      <c r="B105" s="13"/>
      <c r="C105" s="316"/>
      <c r="D105" s="293" t="s">
        <v>155</v>
      </c>
      <c r="E105" s="67">
        <f>G105</f>
        <v>915500</v>
      </c>
      <c r="F105" s="67">
        <v>0</v>
      </c>
      <c r="G105" s="20">
        <f>971400-55900</f>
        <v>915500</v>
      </c>
      <c r="H105" s="336" t="s">
        <v>349</v>
      </c>
      <c r="I105" s="339"/>
      <c r="J105" s="340"/>
      <c r="K105" s="20"/>
      <c r="L105" s="20"/>
      <c r="M105" s="59">
        <f>206900+16200+96000+15000+499200+19500+16500-55900+4179+63500+3740+1000+1081</f>
        <v>886900</v>
      </c>
      <c r="N105" s="59">
        <f>G105-M105-P105</f>
        <v>28600</v>
      </c>
      <c r="O105" s="59">
        <f>M105*100/G105</f>
        <v>96.876024030584375</v>
      </c>
      <c r="P105" s="59">
        <v>0</v>
      </c>
      <c r="Q105" s="16" t="s">
        <v>292</v>
      </c>
      <c r="R105" s="324">
        <f t="shared" si="16"/>
        <v>0</v>
      </c>
    </row>
    <row r="106" spans="1:19" s="320" customFormat="1" ht="44.25" customHeight="1" x14ac:dyDescent="0.2">
      <c r="A106" s="24"/>
      <c r="B106" s="25"/>
      <c r="C106" s="674" t="s">
        <v>154</v>
      </c>
      <c r="D106" s="675"/>
      <c r="E106" s="66">
        <f>F106+G106</f>
        <v>2846400</v>
      </c>
      <c r="F106" s="66">
        <f>F107+F110</f>
        <v>10900</v>
      </c>
      <c r="G106" s="11">
        <f>G107+G110</f>
        <v>2835500</v>
      </c>
      <c r="H106" s="334"/>
      <c r="I106" s="335"/>
      <c r="J106" s="334"/>
      <c r="K106" s="11">
        <f>K107+K110</f>
        <v>0</v>
      </c>
      <c r="L106" s="11">
        <f>L107+L110</f>
        <v>0</v>
      </c>
      <c r="M106" s="66">
        <f>M107+M110</f>
        <v>407714.8</v>
      </c>
      <c r="N106" s="66">
        <f>N107+N110</f>
        <v>2427785.2000000002</v>
      </c>
      <c r="O106" s="66">
        <f>M106*100/E106</f>
        <v>14.323875772906128</v>
      </c>
      <c r="P106" s="66">
        <f>P107+P110</f>
        <v>10900</v>
      </c>
      <c r="Q106" s="21"/>
      <c r="R106" s="324">
        <f t="shared" si="16"/>
        <v>0</v>
      </c>
    </row>
    <row r="107" spans="1:19" s="320" customFormat="1" ht="78.75" x14ac:dyDescent="0.2">
      <c r="A107" s="12"/>
      <c r="B107" s="13"/>
      <c r="C107" s="316"/>
      <c r="D107" s="293" t="s">
        <v>156</v>
      </c>
      <c r="E107" s="67">
        <f>F107+G107</f>
        <v>346400</v>
      </c>
      <c r="F107" s="67">
        <f>F108+F109</f>
        <v>10900</v>
      </c>
      <c r="G107" s="20">
        <f>G108+G109</f>
        <v>335500</v>
      </c>
      <c r="H107" s="340"/>
      <c r="I107" s="339"/>
      <c r="J107" s="340"/>
      <c r="K107" s="20">
        <f>K108+K109</f>
        <v>0</v>
      </c>
      <c r="L107" s="20">
        <f>L108+L109</f>
        <v>0</v>
      </c>
      <c r="M107" s="59">
        <f>M108+M109</f>
        <v>335500</v>
      </c>
      <c r="N107" s="59">
        <f>N108+N109</f>
        <v>0</v>
      </c>
      <c r="O107" s="67">
        <f>M107*100/G107</f>
        <v>100</v>
      </c>
      <c r="P107" s="67">
        <f>P108+P109</f>
        <v>10900</v>
      </c>
      <c r="Q107" s="318" t="s">
        <v>290</v>
      </c>
      <c r="R107" s="324">
        <f t="shared" si="16"/>
        <v>0</v>
      </c>
    </row>
    <row r="108" spans="1:19" s="320" customFormat="1" ht="78.75" x14ac:dyDescent="0.2">
      <c r="A108" s="12"/>
      <c r="B108" s="13"/>
      <c r="C108" s="316"/>
      <c r="D108" s="293" t="s">
        <v>178</v>
      </c>
      <c r="E108" s="67">
        <f>F108+G108</f>
        <v>335500</v>
      </c>
      <c r="F108" s="67"/>
      <c r="G108" s="20">
        <f>400000-64500</f>
        <v>335500</v>
      </c>
      <c r="H108" s="336" t="s">
        <v>388</v>
      </c>
      <c r="I108" s="339"/>
      <c r="J108" s="340"/>
      <c r="K108" s="20"/>
      <c r="L108" s="20"/>
      <c r="M108" s="59">
        <f>197500+15000+50000+3750+1750+7000+15000+3750+1750+63500-34500+1400+4300+5000+300</f>
        <v>335500</v>
      </c>
      <c r="N108" s="59">
        <f>G108-M108-P108</f>
        <v>0</v>
      </c>
      <c r="O108" s="59">
        <f>M108*100/G108</f>
        <v>100</v>
      </c>
      <c r="P108" s="67">
        <v>0</v>
      </c>
      <c r="Q108" s="16" t="s">
        <v>615</v>
      </c>
      <c r="R108" s="324">
        <f t="shared" si="16"/>
        <v>0</v>
      </c>
    </row>
    <row r="109" spans="1:19" s="320" customFormat="1" ht="37.5" x14ac:dyDescent="0.2">
      <c r="A109" s="27"/>
      <c r="B109" s="28"/>
      <c r="C109" s="28"/>
      <c r="D109" s="414" t="s">
        <v>30</v>
      </c>
      <c r="E109" s="524">
        <f>F109</f>
        <v>10900</v>
      </c>
      <c r="F109" s="368">
        <f>3528000-3528000+10900</f>
        <v>10900</v>
      </c>
      <c r="G109" s="376">
        <v>0</v>
      </c>
      <c r="H109" s="256" t="s">
        <v>268</v>
      </c>
      <c r="I109" s="415"/>
      <c r="J109" s="416"/>
      <c r="K109" s="376"/>
      <c r="L109" s="376"/>
      <c r="M109" s="58"/>
      <c r="N109" s="58"/>
      <c r="O109" s="58">
        <v>0</v>
      </c>
      <c r="P109" s="58">
        <v>10900</v>
      </c>
      <c r="Q109" s="417"/>
      <c r="R109" s="324">
        <f t="shared" si="16"/>
        <v>0</v>
      </c>
    </row>
    <row r="110" spans="1:19" s="320" customFormat="1" ht="44.25" customHeight="1" x14ac:dyDescent="0.2">
      <c r="A110" s="24"/>
      <c r="B110" s="25"/>
      <c r="C110" s="400"/>
      <c r="D110" s="393" t="s">
        <v>157</v>
      </c>
      <c r="E110" s="423">
        <f>G110</f>
        <v>2500000</v>
      </c>
      <c r="F110" s="423">
        <v>0</v>
      </c>
      <c r="G110" s="395">
        <v>2500000</v>
      </c>
      <c r="H110" s="336" t="s">
        <v>349</v>
      </c>
      <c r="I110" s="396"/>
      <c r="J110" s="397"/>
      <c r="K110" s="398"/>
      <c r="L110" s="398"/>
      <c r="M110" s="399">
        <f>44750+22500+4964.8</f>
        <v>72214.8</v>
      </c>
      <c r="N110" s="399">
        <f>G110-M110</f>
        <v>2427785.2000000002</v>
      </c>
      <c r="O110" s="399">
        <f>M110*100/G110</f>
        <v>2.888592</v>
      </c>
      <c r="P110" s="399"/>
      <c r="Q110" s="318" t="s">
        <v>21</v>
      </c>
      <c r="R110" s="324">
        <f t="shared" si="16"/>
        <v>0</v>
      </c>
    </row>
    <row r="111" spans="1:19" s="320" customFormat="1" ht="26.25" customHeight="1" x14ac:dyDescent="0.2">
      <c r="A111" s="24"/>
      <c r="B111" s="25"/>
      <c r="C111" s="674" t="s">
        <v>158</v>
      </c>
      <c r="D111" s="675"/>
      <c r="E111" s="353">
        <f>F111+G111</f>
        <v>1980000</v>
      </c>
      <c r="F111" s="353">
        <f>F112</f>
        <v>1980000</v>
      </c>
      <c r="G111" s="350">
        <f>G112</f>
        <v>0</v>
      </c>
      <c r="H111" s="351"/>
      <c r="I111" s="352"/>
      <c r="J111" s="351"/>
      <c r="K111" s="350">
        <f>K112</f>
        <v>1980000</v>
      </c>
      <c r="L111" s="350">
        <f>L112</f>
        <v>0</v>
      </c>
      <c r="M111" s="353">
        <f>M112</f>
        <v>1980000</v>
      </c>
      <c r="N111" s="353">
        <f>N112</f>
        <v>0</v>
      </c>
      <c r="O111" s="353">
        <f>M111*100/K111</f>
        <v>100</v>
      </c>
      <c r="P111" s="353"/>
      <c r="Q111" s="21"/>
      <c r="R111" s="324">
        <f t="shared" si="16"/>
        <v>0</v>
      </c>
    </row>
    <row r="112" spans="1:19" s="320" customFormat="1" ht="51.75" x14ac:dyDescent="0.2">
      <c r="A112" s="12"/>
      <c r="B112" s="13"/>
      <c r="C112" s="13"/>
      <c r="D112" s="293" t="s">
        <v>266</v>
      </c>
      <c r="E112" s="67">
        <f>F112</f>
        <v>1980000</v>
      </c>
      <c r="F112" s="67">
        <f>2178000-198000</f>
        <v>1980000</v>
      </c>
      <c r="G112" s="20">
        <v>0</v>
      </c>
      <c r="H112" s="227" t="s">
        <v>388</v>
      </c>
      <c r="I112" s="358" t="s">
        <v>449</v>
      </c>
      <c r="J112" s="226" t="s">
        <v>307</v>
      </c>
      <c r="K112" s="20">
        <v>1980000</v>
      </c>
      <c r="L112" s="20">
        <f>F112-K112</f>
        <v>0</v>
      </c>
      <c r="M112" s="59">
        <v>1980000</v>
      </c>
      <c r="N112" s="59">
        <f>K112-M112</f>
        <v>0</v>
      </c>
      <c r="O112" s="59">
        <f>M112*100/K112</f>
        <v>100</v>
      </c>
      <c r="P112" s="59"/>
      <c r="Q112" s="16" t="s">
        <v>31</v>
      </c>
      <c r="R112" s="324">
        <f t="shared" si="16"/>
        <v>0</v>
      </c>
    </row>
    <row r="113" spans="1:18" s="320" customFormat="1" ht="24.75" customHeight="1" x14ac:dyDescent="0.2">
      <c r="A113" s="700" t="s">
        <v>32</v>
      </c>
      <c r="B113" s="700"/>
      <c r="C113" s="700"/>
      <c r="D113" s="700"/>
      <c r="E113" s="357">
        <f>F113+G113</f>
        <v>12521546</v>
      </c>
      <c r="F113" s="357">
        <f>F114+F117+F123+F129+F136</f>
        <v>520000</v>
      </c>
      <c r="G113" s="108">
        <f>G114+G117+G123+G129+G136</f>
        <v>12001546</v>
      </c>
      <c r="H113" s="355"/>
      <c r="I113" s="356"/>
      <c r="J113" s="355"/>
      <c r="K113" s="108">
        <f t="shared" ref="K113:P113" si="25">K114+K117+K123+K129+K136</f>
        <v>520000</v>
      </c>
      <c r="L113" s="108">
        <f t="shared" si="25"/>
        <v>0</v>
      </c>
      <c r="M113" s="357">
        <f t="shared" si="25"/>
        <v>8117876.6299999999</v>
      </c>
      <c r="N113" s="357">
        <f t="shared" si="25"/>
        <v>4403669.37</v>
      </c>
      <c r="O113" s="357">
        <f>M113*100/E113</f>
        <v>64.831264685686577</v>
      </c>
      <c r="P113" s="357">
        <f t="shared" si="25"/>
        <v>0</v>
      </c>
      <c r="Q113" s="26"/>
      <c r="R113" s="324">
        <f t="shared" si="16"/>
        <v>0</v>
      </c>
    </row>
    <row r="114" spans="1:18" s="320" customFormat="1" ht="44.25" customHeight="1" x14ac:dyDescent="0.2">
      <c r="A114" s="17"/>
      <c r="B114" s="670" t="s">
        <v>33</v>
      </c>
      <c r="C114" s="670"/>
      <c r="D114" s="671"/>
      <c r="E114" s="357">
        <f>F114+G114</f>
        <v>275436</v>
      </c>
      <c r="F114" s="357">
        <f>F115</f>
        <v>0</v>
      </c>
      <c r="G114" s="108">
        <f>G115</f>
        <v>275436</v>
      </c>
      <c r="H114" s="355"/>
      <c r="I114" s="356"/>
      <c r="J114" s="355"/>
      <c r="K114" s="108">
        <f t="shared" ref="K114:P115" si="26">K115</f>
        <v>0</v>
      </c>
      <c r="L114" s="108">
        <f t="shared" si="26"/>
        <v>0</v>
      </c>
      <c r="M114" s="357">
        <f t="shared" si="26"/>
        <v>275436</v>
      </c>
      <c r="N114" s="357">
        <f t="shared" si="26"/>
        <v>0</v>
      </c>
      <c r="O114" s="357">
        <v>100</v>
      </c>
      <c r="P114" s="357">
        <f t="shared" si="26"/>
        <v>0</v>
      </c>
      <c r="Q114" s="21"/>
      <c r="R114" s="324">
        <f t="shared" si="16"/>
        <v>0</v>
      </c>
    </row>
    <row r="115" spans="1:18" s="320" customFormat="1" ht="42.75" customHeight="1" x14ac:dyDescent="0.2">
      <c r="A115" s="12"/>
      <c r="B115" s="13"/>
      <c r="C115" s="668" t="s">
        <v>34</v>
      </c>
      <c r="D115" s="669"/>
      <c r="E115" s="353">
        <f>F115+G115</f>
        <v>275436</v>
      </c>
      <c r="F115" s="353">
        <f>F116</f>
        <v>0</v>
      </c>
      <c r="G115" s="350">
        <f>G116</f>
        <v>275436</v>
      </c>
      <c r="H115" s="351"/>
      <c r="I115" s="352"/>
      <c r="J115" s="351"/>
      <c r="K115" s="350">
        <f t="shared" si="26"/>
        <v>0</v>
      </c>
      <c r="L115" s="350">
        <f t="shared" si="26"/>
        <v>0</v>
      </c>
      <c r="M115" s="353">
        <f t="shared" si="26"/>
        <v>275436</v>
      </c>
      <c r="N115" s="353">
        <f t="shared" si="26"/>
        <v>0</v>
      </c>
      <c r="O115" s="353">
        <v>100</v>
      </c>
      <c r="P115" s="353">
        <f t="shared" si="26"/>
        <v>0</v>
      </c>
      <c r="Q115" s="21"/>
      <c r="R115" s="324">
        <f t="shared" si="16"/>
        <v>0</v>
      </c>
    </row>
    <row r="116" spans="1:18" s="320" customFormat="1" ht="47.25" x14ac:dyDescent="0.2">
      <c r="A116" s="12"/>
      <c r="B116" s="13"/>
      <c r="C116" s="316"/>
      <c r="D116" s="293" t="s">
        <v>35</v>
      </c>
      <c r="E116" s="67">
        <f>G116</f>
        <v>275436</v>
      </c>
      <c r="F116" s="67">
        <v>0</v>
      </c>
      <c r="G116" s="20">
        <f>300000-24564</f>
        <v>275436</v>
      </c>
      <c r="H116" s="336" t="s">
        <v>388</v>
      </c>
      <c r="I116" s="339"/>
      <c r="J116" s="340"/>
      <c r="K116" s="20"/>
      <c r="L116" s="20"/>
      <c r="M116" s="59">
        <f>94500+540+844+22562+29000+484+540+22725+1260+1000+30500+540+844+22817+604+540+22470+19402+844+540+840+840+1200</f>
        <v>275436</v>
      </c>
      <c r="N116" s="59">
        <f>G116-M116-P116</f>
        <v>0</v>
      </c>
      <c r="O116" s="59">
        <v>100</v>
      </c>
      <c r="P116" s="59">
        <v>0</v>
      </c>
      <c r="Q116" s="16" t="s">
        <v>474</v>
      </c>
      <c r="R116" s="324">
        <f t="shared" si="16"/>
        <v>0</v>
      </c>
    </row>
    <row r="117" spans="1:18" s="320" customFormat="1" ht="45.75" customHeight="1" x14ac:dyDescent="0.2">
      <c r="A117" s="12"/>
      <c r="B117" s="668" t="s">
        <v>36</v>
      </c>
      <c r="C117" s="668"/>
      <c r="D117" s="669"/>
      <c r="E117" s="54">
        <f>E118+E120</f>
        <v>4304900</v>
      </c>
      <c r="F117" s="54">
        <f>F118+F120</f>
        <v>0</v>
      </c>
      <c r="G117" s="7">
        <f>G118+G120</f>
        <v>4304900</v>
      </c>
      <c r="H117" s="418"/>
      <c r="I117" s="419"/>
      <c r="J117" s="418"/>
      <c r="K117" s="7">
        <f t="shared" ref="K117:P117" si="27">K118+K120</f>
        <v>0</v>
      </c>
      <c r="L117" s="7">
        <f t="shared" si="27"/>
        <v>0</v>
      </c>
      <c r="M117" s="54">
        <f t="shared" si="27"/>
        <v>417100</v>
      </c>
      <c r="N117" s="54">
        <f t="shared" si="27"/>
        <v>3887800</v>
      </c>
      <c r="O117" s="420">
        <f t="shared" ref="O117:O122" si="28">M117*100/G117</f>
        <v>9.6889590931264369</v>
      </c>
      <c r="P117" s="54">
        <f t="shared" si="27"/>
        <v>0</v>
      </c>
      <c r="Q117" s="21"/>
      <c r="R117" s="324">
        <f t="shared" si="16"/>
        <v>0</v>
      </c>
    </row>
    <row r="118" spans="1:18" s="320" customFormat="1" x14ac:dyDescent="0.2">
      <c r="A118" s="24"/>
      <c r="B118" s="25"/>
      <c r="C118" s="668" t="s">
        <v>37</v>
      </c>
      <c r="D118" s="669"/>
      <c r="E118" s="66">
        <f>F118+G118</f>
        <v>304900</v>
      </c>
      <c r="F118" s="66">
        <f>F119</f>
        <v>0</v>
      </c>
      <c r="G118" s="11">
        <f>G119</f>
        <v>304900</v>
      </c>
      <c r="H118" s="334"/>
      <c r="I118" s="335"/>
      <c r="J118" s="334"/>
      <c r="K118" s="11">
        <f>K119</f>
        <v>0</v>
      </c>
      <c r="L118" s="11">
        <f>L119</f>
        <v>0</v>
      </c>
      <c r="M118" s="66">
        <f>M119</f>
        <v>304900</v>
      </c>
      <c r="N118" s="66">
        <f>N119</f>
        <v>0</v>
      </c>
      <c r="O118" s="66">
        <f t="shared" si="28"/>
        <v>100</v>
      </c>
      <c r="P118" s="66">
        <f>P119</f>
        <v>0</v>
      </c>
      <c r="Q118" s="21"/>
      <c r="R118" s="324">
        <f t="shared" si="16"/>
        <v>0</v>
      </c>
    </row>
    <row r="119" spans="1:18" s="320" customFormat="1" ht="42" x14ac:dyDescent="0.2">
      <c r="A119" s="24"/>
      <c r="B119" s="25"/>
      <c r="C119" s="316"/>
      <c r="D119" s="293" t="s">
        <v>38</v>
      </c>
      <c r="E119" s="67">
        <f>G119</f>
        <v>304900</v>
      </c>
      <c r="F119" s="67">
        <v>0</v>
      </c>
      <c r="G119" s="20">
        <v>304900</v>
      </c>
      <c r="H119" s="342" t="s">
        <v>388</v>
      </c>
      <c r="I119" s="339"/>
      <c r="J119" s="340"/>
      <c r="K119" s="20"/>
      <c r="L119" s="20"/>
      <c r="M119" s="59">
        <f>158400+4500+72000+70000</f>
        <v>304900</v>
      </c>
      <c r="N119" s="59">
        <f>G119-M119</f>
        <v>0</v>
      </c>
      <c r="O119" s="59">
        <f t="shared" si="28"/>
        <v>100</v>
      </c>
      <c r="P119" s="59"/>
      <c r="Q119" s="16" t="s">
        <v>39</v>
      </c>
      <c r="R119" s="324">
        <f t="shared" si="16"/>
        <v>0</v>
      </c>
    </row>
    <row r="120" spans="1:18" s="320" customFormat="1" x14ac:dyDescent="0.2">
      <c r="A120" s="12"/>
      <c r="B120" s="13"/>
      <c r="C120" s="668" t="s">
        <v>40</v>
      </c>
      <c r="D120" s="669"/>
      <c r="E120" s="66">
        <f>F120+G120</f>
        <v>4000000</v>
      </c>
      <c r="F120" s="66">
        <f>F121+F122</f>
        <v>0</v>
      </c>
      <c r="G120" s="11">
        <f>G121+G122</f>
        <v>4000000</v>
      </c>
      <c r="H120" s="334"/>
      <c r="I120" s="335"/>
      <c r="J120" s="334"/>
      <c r="K120" s="11">
        <f t="shared" ref="K120:P120" si="29">K121+K122</f>
        <v>0</v>
      </c>
      <c r="L120" s="11">
        <f t="shared" si="29"/>
        <v>0</v>
      </c>
      <c r="M120" s="66">
        <f t="shared" si="29"/>
        <v>112200</v>
      </c>
      <c r="N120" s="66">
        <f t="shared" si="29"/>
        <v>3887800</v>
      </c>
      <c r="O120" s="66">
        <f t="shared" si="28"/>
        <v>2.8050000000000002</v>
      </c>
      <c r="P120" s="66">
        <f t="shared" si="29"/>
        <v>0</v>
      </c>
      <c r="Q120" s="21"/>
      <c r="R120" s="324">
        <f t="shared" si="16"/>
        <v>0</v>
      </c>
    </row>
    <row r="121" spans="1:18" s="320" customFormat="1" ht="37.5" x14ac:dyDescent="0.2">
      <c r="A121" s="12"/>
      <c r="B121" s="13"/>
      <c r="C121" s="316"/>
      <c r="D121" s="293" t="s">
        <v>41</v>
      </c>
      <c r="E121" s="57">
        <f>G121</f>
        <v>1000000</v>
      </c>
      <c r="F121" s="57">
        <v>0</v>
      </c>
      <c r="G121" s="381">
        <v>1000000</v>
      </c>
      <c r="H121" s="336" t="s">
        <v>349</v>
      </c>
      <c r="I121" s="383"/>
      <c r="J121" s="384"/>
      <c r="K121" s="381"/>
      <c r="L121" s="381"/>
      <c r="M121" s="385">
        <f>101200+11000</f>
        <v>112200</v>
      </c>
      <c r="N121" s="385">
        <f>G121-M121</f>
        <v>887800</v>
      </c>
      <c r="O121" s="385">
        <f t="shared" si="28"/>
        <v>11.22</v>
      </c>
      <c r="P121" s="385"/>
      <c r="Q121" s="16" t="s">
        <v>22</v>
      </c>
      <c r="R121" s="324">
        <f t="shared" si="16"/>
        <v>0</v>
      </c>
    </row>
    <row r="122" spans="1:18" s="320" customFormat="1" ht="42" x14ac:dyDescent="0.2">
      <c r="A122" s="12"/>
      <c r="B122" s="13"/>
      <c r="C122" s="13"/>
      <c r="D122" s="293" t="s">
        <v>42</v>
      </c>
      <c r="E122" s="57">
        <f>G122</f>
        <v>3000000</v>
      </c>
      <c r="F122" s="67">
        <v>0</v>
      </c>
      <c r="G122" s="20">
        <v>3000000</v>
      </c>
      <c r="H122" s="336" t="s">
        <v>349</v>
      </c>
      <c r="I122" s="339"/>
      <c r="J122" s="340"/>
      <c r="K122" s="20"/>
      <c r="L122" s="20"/>
      <c r="M122" s="59"/>
      <c r="N122" s="385">
        <f>G122-M122</f>
        <v>3000000</v>
      </c>
      <c r="O122" s="385">
        <f t="shared" si="28"/>
        <v>0</v>
      </c>
      <c r="P122" s="385"/>
      <c r="Q122" s="16" t="s">
        <v>22</v>
      </c>
      <c r="R122" s="324">
        <f t="shared" si="16"/>
        <v>0</v>
      </c>
    </row>
    <row r="123" spans="1:18" s="320" customFormat="1" ht="45.75" customHeight="1" x14ac:dyDescent="0.2">
      <c r="A123" s="17"/>
      <c r="B123" s="670" t="s">
        <v>43</v>
      </c>
      <c r="C123" s="670"/>
      <c r="D123" s="671"/>
      <c r="E123" s="357">
        <f>F123+G123</f>
        <v>3513210</v>
      </c>
      <c r="F123" s="357">
        <f>F124</f>
        <v>495000</v>
      </c>
      <c r="G123" s="108">
        <f>G124</f>
        <v>3018210</v>
      </c>
      <c r="H123" s="355"/>
      <c r="I123" s="356"/>
      <c r="J123" s="355"/>
      <c r="K123" s="108">
        <f t="shared" ref="K123:P123" si="30">K124</f>
        <v>495000</v>
      </c>
      <c r="L123" s="108">
        <f t="shared" si="30"/>
        <v>0</v>
      </c>
      <c r="M123" s="357">
        <f t="shared" si="30"/>
        <v>3377580</v>
      </c>
      <c r="N123" s="357">
        <f t="shared" si="30"/>
        <v>135630</v>
      </c>
      <c r="O123" s="357">
        <f>M123*100/E123</f>
        <v>96.139428044437992</v>
      </c>
      <c r="P123" s="357">
        <f t="shared" si="30"/>
        <v>0</v>
      </c>
      <c r="Q123" s="26"/>
      <c r="R123" s="324">
        <f t="shared" si="16"/>
        <v>0</v>
      </c>
    </row>
    <row r="124" spans="1:18" s="320" customFormat="1" ht="45.75" customHeight="1" x14ac:dyDescent="0.2">
      <c r="A124" s="12"/>
      <c r="B124" s="13"/>
      <c r="C124" s="668" t="s">
        <v>44</v>
      </c>
      <c r="D124" s="669"/>
      <c r="E124" s="66">
        <f>F124+G124</f>
        <v>3513210</v>
      </c>
      <c r="F124" s="66">
        <f>F125+F128</f>
        <v>495000</v>
      </c>
      <c r="G124" s="11">
        <f>G125+G128</f>
        <v>3018210</v>
      </c>
      <c r="H124" s="334"/>
      <c r="I124" s="335"/>
      <c r="J124" s="334"/>
      <c r="K124" s="11">
        <f t="shared" ref="K124:P124" si="31">K125+K128</f>
        <v>495000</v>
      </c>
      <c r="L124" s="11">
        <f t="shared" si="31"/>
        <v>0</v>
      </c>
      <c r="M124" s="66">
        <f t="shared" si="31"/>
        <v>3377580</v>
      </c>
      <c r="N124" s="66">
        <f t="shared" si="31"/>
        <v>135630</v>
      </c>
      <c r="O124" s="66">
        <f>M124*100/E124</f>
        <v>96.139428044437992</v>
      </c>
      <c r="P124" s="66">
        <f t="shared" si="31"/>
        <v>0</v>
      </c>
      <c r="Q124" s="21"/>
      <c r="R124" s="324">
        <f t="shared" si="16"/>
        <v>0</v>
      </c>
    </row>
    <row r="125" spans="1:18" s="320" customFormat="1" ht="43.5" customHeight="1" x14ac:dyDescent="0.2">
      <c r="A125" s="12"/>
      <c r="B125" s="13"/>
      <c r="C125" s="13"/>
      <c r="D125" s="293" t="s">
        <v>159</v>
      </c>
      <c r="E125" s="67">
        <f>F125+G125</f>
        <v>2562100</v>
      </c>
      <c r="F125" s="67">
        <f>F126+F127</f>
        <v>495000</v>
      </c>
      <c r="G125" s="20">
        <f>G126+G127</f>
        <v>2067100</v>
      </c>
      <c r="H125" s="340"/>
      <c r="I125" s="339"/>
      <c r="J125" s="340"/>
      <c r="K125" s="20">
        <f>K126+K127</f>
        <v>495000</v>
      </c>
      <c r="L125" s="20">
        <f>L126+L127</f>
        <v>0</v>
      </c>
      <c r="M125" s="59">
        <f>M126+M127</f>
        <v>2562100</v>
      </c>
      <c r="N125" s="59">
        <f>N126+N127</f>
        <v>0</v>
      </c>
      <c r="O125" s="59">
        <v>100</v>
      </c>
      <c r="P125" s="59">
        <f>P126</f>
        <v>0</v>
      </c>
      <c r="Q125" s="16" t="s">
        <v>39</v>
      </c>
      <c r="R125" s="324">
        <f t="shared" si="16"/>
        <v>0</v>
      </c>
    </row>
    <row r="126" spans="1:18" s="320" customFormat="1" x14ac:dyDescent="0.2">
      <c r="A126" s="12"/>
      <c r="B126" s="13"/>
      <c r="C126" s="13"/>
      <c r="D126" s="293" t="s">
        <v>178</v>
      </c>
      <c r="E126" s="67">
        <f>G126</f>
        <v>2067100</v>
      </c>
      <c r="F126" s="67"/>
      <c r="G126" s="20">
        <f>2071900-4800</f>
        <v>2067100</v>
      </c>
      <c r="H126" s="336" t="s">
        <v>388</v>
      </c>
      <c r="I126" s="339"/>
      <c r="J126" s="340"/>
      <c r="K126" s="20"/>
      <c r="L126" s="20"/>
      <c r="M126" s="59">
        <f>20700+16800+20700+18000+77175+20700+13800+25200+18000+20700+20700+30000+30000+6000+6000+1500+1500+500+500+9450+6900+13800+70000+40000+60025+500+3000+500+500+6000+10500+25000+2000+32950+6800+3000+500+24000+31200+500+280000+3000+105000+180000+360000+320000+120000+500+3000</f>
        <v>2067100</v>
      </c>
      <c r="N126" s="59">
        <f>G126-M126-P126</f>
        <v>0</v>
      </c>
      <c r="O126" s="59">
        <v>100</v>
      </c>
      <c r="P126" s="59"/>
      <c r="Q126" s="16"/>
      <c r="R126" s="324">
        <f t="shared" si="16"/>
        <v>0</v>
      </c>
    </row>
    <row r="127" spans="1:18" s="320" customFormat="1" ht="51.75" x14ac:dyDescent="0.2">
      <c r="A127" s="17"/>
      <c r="B127" s="18"/>
      <c r="C127" s="18"/>
      <c r="D127" s="19" t="s">
        <v>45</v>
      </c>
      <c r="E127" s="368">
        <f>F127</f>
        <v>495000</v>
      </c>
      <c r="F127" s="368">
        <v>495000</v>
      </c>
      <c r="G127" s="15">
        <v>0</v>
      </c>
      <c r="H127" s="227" t="s">
        <v>388</v>
      </c>
      <c r="I127" s="358" t="s">
        <v>378</v>
      </c>
      <c r="J127" s="402" t="s">
        <v>323</v>
      </c>
      <c r="K127" s="20">
        <v>495000</v>
      </c>
      <c r="L127" s="15">
        <f>F127-K127</f>
        <v>0</v>
      </c>
      <c r="M127" s="58">
        <v>495000</v>
      </c>
      <c r="N127" s="58">
        <f>F127-M127</f>
        <v>0</v>
      </c>
      <c r="O127" s="58">
        <f>M127*100/K127</f>
        <v>100</v>
      </c>
      <c r="P127" s="58"/>
      <c r="Q127" s="319"/>
      <c r="R127" s="324">
        <f t="shared" si="16"/>
        <v>0</v>
      </c>
    </row>
    <row r="128" spans="1:18" s="320" customFormat="1" ht="42" x14ac:dyDescent="0.2">
      <c r="A128" s="17"/>
      <c r="B128" s="18"/>
      <c r="C128" s="18"/>
      <c r="D128" s="19" t="s">
        <v>547</v>
      </c>
      <c r="E128" s="67">
        <f>G128</f>
        <v>951110</v>
      </c>
      <c r="F128" s="67">
        <v>0</v>
      </c>
      <c r="G128" s="15">
        <f>1201900-250790</f>
        <v>951110</v>
      </c>
      <c r="H128" s="336" t="s">
        <v>349</v>
      </c>
      <c r="I128" s="337"/>
      <c r="J128" s="338"/>
      <c r="K128" s="15"/>
      <c r="L128" s="15"/>
      <c r="M128" s="58">
        <f>108200+18450+18450+18450+18450+78050+18450+18450+31500+6570+13530+18450+37065+2000+15000+17600+18450+37065+13530+900+18450+18450+18450+18450+12300+12300+50000+37500+6000+67500+6000+37500+600+1670+1700</f>
        <v>815480</v>
      </c>
      <c r="N128" s="58">
        <f>G128-M128-P128</f>
        <v>135630</v>
      </c>
      <c r="O128" s="58">
        <f>M128*100/G128</f>
        <v>85.739819789509099</v>
      </c>
      <c r="P128" s="58">
        <v>0</v>
      </c>
      <c r="Q128" s="319" t="s">
        <v>39</v>
      </c>
      <c r="R128" s="324">
        <f t="shared" si="16"/>
        <v>0</v>
      </c>
    </row>
    <row r="129" spans="1:18" s="320" customFormat="1" ht="23.25" customHeight="1" x14ac:dyDescent="0.2">
      <c r="A129" s="9"/>
      <c r="B129" s="670" t="s">
        <v>46</v>
      </c>
      <c r="C129" s="670"/>
      <c r="D129" s="671"/>
      <c r="E129" s="357">
        <f>F129+G129</f>
        <v>2565500</v>
      </c>
      <c r="F129" s="357">
        <f>F130</f>
        <v>25000</v>
      </c>
      <c r="G129" s="108">
        <f>G130</f>
        <v>2540500</v>
      </c>
      <c r="H129" s="355"/>
      <c r="I129" s="356"/>
      <c r="J129" s="355"/>
      <c r="K129" s="108">
        <f t="shared" ref="K129:P129" si="32">K130</f>
        <v>25000</v>
      </c>
      <c r="L129" s="108">
        <f t="shared" si="32"/>
        <v>0</v>
      </c>
      <c r="M129" s="357">
        <f>M130</f>
        <v>2185260.63</v>
      </c>
      <c r="N129" s="357">
        <f t="shared" si="32"/>
        <v>380239.37</v>
      </c>
      <c r="O129" s="357">
        <f>M129*100/E129</f>
        <v>85.178742155525242</v>
      </c>
      <c r="P129" s="357">
        <f t="shared" si="32"/>
        <v>0</v>
      </c>
      <c r="Q129" s="21"/>
      <c r="R129" s="324">
        <f t="shared" si="16"/>
        <v>1.1641532182693481E-10</v>
      </c>
    </row>
    <row r="130" spans="1:18" s="320" customFormat="1" ht="25.5" customHeight="1" x14ac:dyDescent="0.2">
      <c r="A130" s="12"/>
      <c r="B130" s="13"/>
      <c r="C130" s="668" t="s">
        <v>47</v>
      </c>
      <c r="D130" s="669"/>
      <c r="E130" s="66">
        <f>F130+G130</f>
        <v>2565500</v>
      </c>
      <c r="F130" s="66">
        <f>F131+F134+F135</f>
        <v>25000</v>
      </c>
      <c r="G130" s="11">
        <f>G131+G134+G135</f>
        <v>2540500</v>
      </c>
      <c r="H130" s="334"/>
      <c r="I130" s="335"/>
      <c r="J130" s="334"/>
      <c r="K130" s="11">
        <f t="shared" ref="K130:P130" si="33">K131+K134+K135</f>
        <v>25000</v>
      </c>
      <c r="L130" s="11">
        <f t="shared" si="33"/>
        <v>0</v>
      </c>
      <c r="M130" s="66">
        <f t="shared" si="33"/>
        <v>2185260.63</v>
      </c>
      <c r="N130" s="66">
        <f t="shared" si="33"/>
        <v>380239.37</v>
      </c>
      <c r="O130" s="66">
        <f>M130*100/E130</f>
        <v>85.178742155525242</v>
      </c>
      <c r="P130" s="66">
        <f t="shared" si="33"/>
        <v>0</v>
      </c>
      <c r="Q130" s="21"/>
      <c r="R130" s="324">
        <f t="shared" si="16"/>
        <v>1.1641532182693481E-10</v>
      </c>
    </row>
    <row r="131" spans="1:18" s="320" customFormat="1" ht="50.25" customHeight="1" x14ac:dyDescent="0.2">
      <c r="A131" s="24"/>
      <c r="B131" s="25"/>
      <c r="C131" s="25"/>
      <c r="D131" s="393" t="s">
        <v>48</v>
      </c>
      <c r="E131" s="423">
        <f>F131+G131</f>
        <v>899900</v>
      </c>
      <c r="F131" s="423">
        <f>F132+F133</f>
        <v>25000</v>
      </c>
      <c r="G131" s="394">
        <f>G132+G133</f>
        <v>874900</v>
      </c>
      <c r="H131" s="347"/>
      <c r="I131" s="421"/>
      <c r="J131" s="422"/>
      <c r="K131" s="394">
        <f>K132+K133</f>
        <v>25000</v>
      </c>
      <c r="L131" s="394">
        <f>L132+L133</f>
        <v>0</v>
      </c>
      <c r="M131" s="423">
        <f>M132+M133</f>
        <v>767098.97</v>
      </c>
      <c r="N131" s="423">
        <f>N132+N133</f>
        <v>132801.03000000003</v>
      </c>
      <c r="O131" s="399">
        <f>M131*100/E131</f>
        <v>85.242690298922099</v>
      </c>
      <c r="P131" s="399"/>
      <c r="Q131" s="318" t="s">
        <v>14</v>
      </c>
      <c r="R131" s="324">
        <f t="shared" si="16"/>
        <v>0</v>
      </c>
    </row>
    <row r="132" spans="1:18" s="320" customFormat="1" ht="37.5" x14ac:dyDescent="0.2">
      <c r="A132" s="24"/>
      <c r="B132" s="25"/>
      <c r="C132" s="25"/>
      <c r="D132" s="393" t="s">
        <v>178</v>
      </c>
      <c r="E132" s="423"/>
      <c r="F132" s="530"/>
      <c r="G132" s="398">
        <v>874900</v>
      </c>
      <c r="H132" s="336" t="s">
        <v>349</v>
      </c>
      <c r="I132" s="396"/>
      <c r="J132" s="397"/>
      <c r="K132" s="398"/>
      <c r="L132" s="398"/>
      <c r="M132" s="399">
        <f>9935.48+4200+4766.66+26560+9354.83+120000+101510+13370+13000+10000+43720-450+13960+10000+125120+33600+38050+10000+16520+56650+13840+10000-21290+70000-5108+4790+10000</f>
        <v>742098.97</v>
      </c>
      <c r="N132" s="399">
        <f>G132-M132</f>
        <v>132801.03000000003</v>
      </c>
      <c r="O132" s="399">
        <f>M132*100/G132</f>
        <v>84.82100468624985</v>
      </c>
      <c r="P132" s="399"/>
      <c r="Q132" s="318"/>
      <c r="R132" s="324">
        <f t="shared" si="16"/>
        <v>-874900</v>
      </c>
    </row>
    <row r="133" spans="1:18" s="320" customFormat="1" ht="55.5" customHeight="1" x14ac:dyDescent="0.2">
      <c r="A133" s="12"/>
      <c r="B133" s="13"/>
      <c r="C133" s="13"/>
      <c r="D133" s="293" t="s">
        <v>242</v>
      </c>
      <c r="E133" s="67"/>
      <c r="F133" s="67">
        <v>25000</v>
      </c>
      <c r="G133" s="20"/>
      <c r="H133" s="257" t="s">
        <v>388</v>
      </c>
      <c r="I133" s="358" t="s">
        <v>386</v>
      </c>
      <c r="J133" s="402" t="s">
        <v>325</v>
      </c>
      <c r="K133" s="20">
        <v>25000</v>
      </c>
      <c r="L133" s="20">
        <f>F133-K133</f>
        <v>0</v>
      </c>
      <c r="M133" s="59">
        <v>25000</v>
      </c>
      <c r="N133" s="59">
        <f>F133-M133</f>
        <v>0</v>
      </c>
      <c r="O133" s="59">
        <f>M133*100/K133</f>
        <v>100</v>
      </c>
      <c r="P133" s="59"/>
      <c r="Q133" s="16"/>
      <c r="R133" s="324">
        <f t="shared" si="16"/>
        <v>-25000</v>
      </c>
    </row>
    <row r="134" spans="1:18" s="320" customFormat="1" ht="42" x14ac:dyDescent="0.2">
      <c r="A134" s="12"/>
      <c r="B134" s="13"/>
      <c r="C134" s="13"/>
      <c r="D134" s="293" t="s">
        <v>49</v>
      </c>
      <c r="E134" s="423">
        <f>F134+G134</f>
        <v>910900</v>
      </c>
      <c r="F134" s="67">
        <v>0</v>
      </c>
      <c r="G134" s="20">
        <v>910900</v>
      </c>
      <c r="H134" s="336" t="s">
        <v>349</v>
      </c>
      <c r="I134" s="339"/>
      <c r="J134" s="340"/>
      <c r="K134" s="20"/>
      <c r="L134" s="20"/>
      <c r="M134" s="59">
        <f>280400+5900+23150+15000+95850+39995+10000+120650+10000+38100+10000-3250-10000+10000+2666.66+10000-5000+10000</f>
        <v>663461.66</v>
      </c>
      <c r="N134" s="59">
        <f>G134-M134</f>
        <v>247438.33999999997</v>
      </c>
      <c r="O134" s="59">
        <f>M134*100/G134</f>
        <v>72.835839279833138</v>
      </c>
      <c r="P134" s="59"/>
      <c r="Q134" s="16" t="s">
        <v>14</v>
      </c>
      <c r="R134" s="324">
        <f t="shared" si="16"/>
        <v>0</v>
      </c>
    </row>
    <row r="135" spans="1:18" s="320" customFormat="1" ht="59.25" customHeight="1" x14ac:dyDescent="0.2">
      <c r="A135" s="12"/>
      <c r="B135" s="13"/>
      <c r="C135" s="13"/>
      <c r="D135" s="111" t="s">
        <v>50</v>
      </c>
      <c r="E135" s="67">
        <f>F135+G135</f>
        <v>754700</v>
      </c>
      <c r="F135" s="67">
        <v>0</v>
      </c>
      <c r="G135" s="23">
        <f>1072200-317500</f>
        <v>754700</v>
      </c>
      <c r="H135" s="336" t="s">
        <v>388</v>
      </c>
      <c r="I135" s="346"/>
      <c r="J135" s="347"/>
      <c r="K135" s="23"/>
      <c r="L135" s="23"/>
      <c r="M135" s="67">
        <f>60200+11000+4945+8730+7820+15790+15215+310000+310000+7325+675+3000</f>
        <v>754700</v>
      </c>
      <c r="N135" s="67">
        <f>G135-M135-P135</f>
        <v>0</v>
      </c>
      <c r="O135" s="59">
        <f>M135*100/G135</f>
        <v>100</v>
      </c>
      <c r="P135" s="59">
        <v>0</v>
      </c>
      <c r="Q135" s="16" t="s">
        <v>51</v>
      </c>
      <c r="R135" s="324">
        <f t="shared" si="16"/>
        <v>0</v>
      </c>
    </row>
    <row r="136" spans="1:18" s="320" customFormat="1" ht="27" customHeight="1" x14ac:dyDescent="0.2">
      <c r="A136" s="17"/>
      <c r="B136" s="670" t="s">
        <v>52</v>
      </c>
      <c r="C136" s="670"/>
      <c r="D136" s="671"/>
      <c r="E136" s="357">
        <f>F136+G136</f>
        <v>1862500</v>
      </c>
      <c r="F136" s="357">
        <f>F137</f>
        <v>0</v>
      </c>
      <c r="G136" s="108">
        <f>G137</f>
        <v>1862500</v>
      </c>
      <c r="H136" s="355"/>
      <c r="I136" s="356"/>
      <c r="J136" s="355"/>
      <c r="K136" s="108">
        <f t="shared" ref="K136:P137" si="34">K137</f>
        <v>0</v>
      </c>
      <c r="L136" s="108">
        <f t="shared" si="34"/>
        <v>0</v>
      </c>
      <c r="M136" s="357">
        <f t="shared" si="34"/>
        <v>1862500</v>
      </c>
      <c r="N136" s="357">
        <f t="shared" si="34"/>
        <v>0</v>
      </c>
      <c r="O136" s="357">
        <v>100</v>
      </c>
      <c r="P136" s="357">
        <f t="shared" si="34"/>
        <v>0</v>
      </c>
      <c r="Q136" s="26"/>
      <c r="R136" s="324">
        <f t="shared" si="16"/>
        <v>0</v>
      </c>
    </row>
    <row r="137" spans="1:18" s="320" customFormat="1" ht="44.25" customHeight="1" x14ac:dyDescent="0.2">
      <c r="A137" s="24"/>
      <c r="B137" s="25"/>
      <c r="C137" s="674" t="s">
        <v>160</v>
      </c>
      <c r="D137" s="675"/>
      <c r="E137" s="66">
        <f>F137+G137</f>
        <v>1862500</v>
      </c>
      <c r="F137" s="66">
        <f>F138</f>
        <v>0</v>
      </c>
      <c r="G137" s="11">
        <f>G138</f>
        <v>1862500</v>
      </c>
      <c r="H137" s="334"/>
      <c r="I137" s="335"/>
      <c r="J137" s="334"/>
      <c r="K137" s="11">
        <f t="shared" si="34"/>
        <v>0</v>
      </c>
      <c r="L137" s="11">
        <f t="shared" si="34"/>
        <v>0</v>
      </c>
      <c r="M137" s="66">
        <f t="shared" si="34"/>
        <v>1862500</v>
      </c>
      <c r="N137" s="66">
        <f t="shared" si="34"/>
        <v>0</v>
      </c>
      <c r="O137" s="66">
        <v>100</v>
      </c>
      <c r="P137" s="66">
        <f t="shared" si="34"/>
        <v>0</v>
      </c>
      <c r="Q137" s="21"/>
      <c r="R137" s="324">
        <f t="shared" si="16"/>
        <v>0</v>
      </c>
    </row>
    <row r="138" spans="1:18" s="320" customFormat="1" ht="44.25" customHeight="1" x14ac:dyDescent="0.2">
      <c r="A138" s="12"/>
      <c r="B138" s="13"/>
      <c r="C138" s="316"/>
      <c r="D138" s="293" t="s">
        <v>161</v>
      </c>
      <c r="E138" s="67">
        <f>G138</f>
        <v>1862500</v>
      </c>
      <c r="F138" s="67">
        <v>0</v>
      </c>
      <c r="G138" s="15">
        <f>2303300-440800</f>
        <v>1862500</v>
      </c>
      <c r="H138" s="336" t="s">
        <v>388</v>
      </c>
      <c r="I138" s="337"/>
      <c r="J138" s="338"/>
      <c r="K138" s="15"/>
      <c r="L138" s="15"/>
      <c r="M138" s="58">
        <f>10500+740800+1111200</f>
        <v>1862500</v>
      </c>
      <c r="N138" s="58">
        <f>G138-M138-P138</f>
        <v>0</v>
      </c>
      <c r="O138" s="58">
        <v>100</v>
      </c>
      <c r="P138" s="58"/>
      <c r="Q138" s="16" t="s">
        <v>53</v>
      </c>
      <c r="R138" s="324">
        <f t="shared" si="16"/>
        <v>0</v>
      </c>
    </row>
    <row r="139" spans="1:18" s="320" customFormat="1" ht="48" customHeight="1" x14ac:dyDescent="0.2">
      <c r="A139" s="667" t="s">
        <v>54</v>
      </c>
      <c r="B139" s="667"/>
      <c r="C139" s="667"/>
      <c r="D139" s="667"/>
      <c r="E139" s="66">
        <f>F139+G139</f>
        <v>22955601.899999999</v>
      </c>
      <c r="F139" s="66">
        <f>F140+F148+F153+F174</f>
        <v>4564185.9000000004</v>
      </c>
      <c r="G139" s="11">
        <f>G140+G148+G153+G174</f>
        <v>18391416</v>
      </c>
      <c r="H139" s="334"/>
      <c r="I139" s="335"/>
      <c r="J139" s="334"/>
      <c r="K139" s="11">
        <f t="shared" ref="K139:P139" si="35">K140+K148+K153+K174</f>
        <v>4564185.9000000004</v>
      </c>
      <c r="L139" s="66">
        <f t="shared" si="35"/>
        <v>0</v>
      </c>
      <c r="M139" s="66">
        <f t="shared" si="35"/>
        <v>18469046.899999999</v>
      </c>
      <c r="N139" s="66">
        <f t="shared" si="35"/>
        <v>4456350</v>
      </c>
      <c r="O139" s="66">
        <f>M139*100/E139</f>
        <v>80.455511384347531</v>
      </c>
      <c r="P139" s="66">
        <f t="shared" si="35"/>
        <v>30205</v>
      </c>
      <c r="Q139" s="21"/>
      <c r="R139" s="324">
        <f t="shared" si="16"/>
        <v>0</v>
      </c>
    </row>
    <row r="140" spans="1:18" s="320" customFormat="1" ht="47.25" customHeight="1" x14ac:dyDescent="0.2">
      <c r="A140" s="17"/>
      <c r="B140" s="670" t="s">
        <v>55</v>
      </c>
      <c r="C140" s="670"/>
      <c r="D140" s="671"/>
      <c r="E140" s="357">
        <f>F140+G140</f>
        <v>4564185.9000000004</v>
      </c>
      <c r="F140" s="357">
        <f>F141+F143</f>
        <v>4564185.9000000004</v>
      </c>
      <c r="G140" s="108">
        <f>G141+G143</f>
        <v>0</v>
      </c>
      <c r="H140" s="355"/>
      <c r="I140" s="356"/>
      <c r="J140" s="355"/>
      <c r="K140" s="108">
        <f t="shared" ref="K140:P140" si="36">K141+K143</f>
        <v>4564185.9000000004</v>
      </c>
      <c r="L140" s="357">
        <f t="shared" si="36"/>
        <v>0</v>
      </c>
      <c r="M140" s="357">
        <f t="shared" si="36"/>
        <v>4564185.9000000004</v>
      </c>
      <c r="N140" s="357">
        <f t="shared" si="36"/>
        <v>0</v>
      </c>
      <c r="O140" s="357">
        <f t="shared" ref="O140:O145" si="37">M140*100/K140</f>
        <v>100</v>
      </c>
      <c r="P140" s="357">
        <f t="shared" si="36"/>
        <v>0</v>
      </c>
      <c r="Q140" s="21"/>
      <c r="R140" s="324">
        <f t="shared" ref="R140:R203" si="38">E140-L140-M140-N140-P140</f>
        <v>0</v>
      </c>
    </row>
    <row r="141" spans="1:18" s="320" customFormat="1" ht="24" customHeight="1" x14ac:dyDescent="0.2">
      <c r="A141" s="12"/>
      <c r="B141" s="13"/>
      <c r="C141" s="668" t="s">
        <v>56</v>
      </c>
      <c r="D141" s="669"/>
      <c r="E141" s="55">
        <f>F141+G141</f>
        <v>1467500</v>
      </c>
      <c r="F141" s="55">
        <f>F142</f>
        <v>1467500</v>
      </c>
      <c r="G141" s="8">
        <f>G142</f>
        <v>0</v>
      </c>
      <c r="H141" s="326"/>
      <c r="I141" s="327"/>
      <c r="J141" s="326"/>
      <c r="K141" s="8">
        <f>K142</f>
        <v>1467500</v>
      </c>
      <c r="L141" s="8">
        <f>L142</f>
        <v>0</v>
      </c>
      <c r="M141" s="55">
        <f>M142</f>
        <v>1467500</v>
      </c>
      <c r="N141" s="55">
        <f>N142</f>
        <v>0</v>
      </c>
      <c r="O141" s="55">
        <f t="shared" si="37"/>
        <v>100</v>
      </c>
      <c r="P141" s="55"/>
      <c r="Q141" s="21"/>
      <c r="R141" s="324">
        <f t="shared" si="38"/>
        <v>0</v>
      </c>
    </row>
    <row r="142" spans="1:18" s="320" customFormat="1" ht="69" x14ac:dyDescent="0.2">
      <c r="A142" s="12"/>
      <c r="B142" s="13"/>
      <c r="C142" s="316"/>
      <c r="D142" s="293" t="s">
        <v>276</v>
      </c>
      <c r="E142" s="67">
        <f>F142</f>
        <v>1467500</v>
      </c>
      <c r="F142" s="67">
        <f>1980000-512500</f>
        <v>1467500</v>
      </c>
      <c r="G142" s="15">
        <v>0</v>
      </c>
      <c r="H142" s="257" t="s">
        <v>388</v>
      </c>
      <c r="I142" s="358" t="s">
        <v>424</v>
      </c>
      <c r="J142" s="342" t="s">
        <v>425</v>
      </c>
      <c r="K142" s="15">
        <v>1467500</v>
      </c>
      <c r="L142" s="15">
        <f>F142-K142</f>
        <v>0</v>
      </c>
      <c r="M142" s="58">
        <v>1467500</v>
      </c>
      <c r="N142" s="58">
        <f>K142-M142</f>
        <v>0</v>
      </c>
      <c r="O142" s="58">
        <f t="shared" si="37"/>
        <v>100</v>
      </c>
      <c r="P142" s="58"/>
      <c r="Q142" s="16" t="s">
        <v>277</v>
      </c>
      <c r="R142" s="324">
        <f t="shared" si="38"/>
        <v>0</v>
      </c>
    </row>
    <row r="143" spans="1:18" s="320" customFormat="1" ht="24.75" customHeight="1" x14ac:dyDescent="0.2">
      <c r="A143" s="9"/>
      <c r="B143" s="22"/>
      <c r="C143" s="683" t="s">
        <v>58</v>
      </c>
      <c r="D143" s="684"/>
      <c r="E143" s="424">
        <f>F143+G143</f>
        <v>3096685.9</v>
      </c>
      <c r="F143" s="66">
        <f>F144</f>
        <v>3096685.9</v>
      </c>
      <c r="G143" s="11">
        <f>G144</f>
        <v>0</v>
      </c>
      <c r="H143" s="425"/>
      <c r="I143" s="426"/>
      <c r="J143" s="425"/>
      <c r="K143" s="427">
        <f t="shared" ref="K143:P143" si="39">K144</f>
        <v>3096685.9</v>
      </c>
      <c r="L143" s="424">
        <f t="shared" si="39"/>
        <v>0</v>
      </c>
      <c r="M143" s="424">
        <f t="shared" si="39"/>
        <v>3096685.9</v>
      </c>
      <c r="N143" s="424">
        <f t="shared" si="39"/>
        <v>0</v>
      </c>
      <c r="O143" s="424">
        <f t="shared" si="37"/>
        <v>100</v>
      </c>
      <c r="P143" s="424">
        <f t="shared" si="39"/>
        <v>0</v>
      </c>
      <c r="Q143" s="390"/>
      <c r="R143" s="324">
        <f t="shared" si="38"/>
        <v>0</v>
      </c>
    </row>
    <row r="144" spans="1:18" s="320" customFormat="1" ht="23.25" customHeight="1" x14ac:dyDescent="0.2">
      <c r="A144" s="12"/>
      <c r="B144" s="13"/>
      <c r="C144" s="33"/>
      <c r="D144" s="111" t="s">
        <v>60</v>
      </c>
      <c r="E144" s="59">
        <f>F144+G144</f>
        <v>3096685.9</v>
      </c>
      <c r="F144" s="59">
        <f>F145+F146+F147</f>
        <v>3096685.9</v>
      </c>
      <c r="G144" s="20">
        <f>G145+G146+G147</f>
        <v>0</v>
      </c>
      <c r="H144" s="340"/>
      <c r="I144" s="339"/>
      <c r="J144" s="340"/>
      <c r="K144" s="20">
        <f>K145+K146+K147</f>
        <v>3096685.9</v>
      </c>
      <c r="L144" s="59">
        <f>L145+L146+L147</f>
        <v>0</v>
      </c>
      <c r="M144" s="59">
        <f>M145+M146+M147</f>
        <v>3096685.9</v>
      </c>
      <c r="N144" s="59">
        <f>N145+N146+N147</f>
        <v>0</v>
      </c>
      <c r="O144" s="67">
        <f t="shared" si="37"/>
        <v>100</v>
      </c>
      <c r="P144" s="428"/>
      <c r="Q144" s="429"/>
      <c r="R144" s="324">
        <f t="shared" si="38"/>
        <v>0</v>
      </c>
    </row>
    <row r="145" spans="1:18" s="320" customFormat="1" ht="75" x14ac:dyDescent="0.2">
      <c r="A145" s="12"/>
      <c r="B145" s="13"/>
      <c r="C145" s="33"/>
      <c r="D145" s="111" t="s">
        <v>278</v>
      </c>
      <c r="E145" s="67">
        <f>F145</f>
        <v>1650000</v>
      </c>
      <c r="F145" s="527">
        <f>1980000-330000</f>
        <v>1650000</v>
      </c>
      <c r="G145" s="23">
        <v>0</v>
      </c>
      <c r="H145" s="257" t="s">
        <v>388</v>
      </c>
      <c r="I145" s="430" t="s">
        <v>455</v>
      </c>
      <c r="J145" s="431" t="s">
        <v>426</v>
      </c>
      <c r="K145" s="354">
        <v>1650000</v>
      </c>
      <c r="L145" s="354">
        <f>F145-K145</f>
        <v>0</v>
      </c>
      <c r="M145" s="428">
        <v>1650000</v>
      </c>
      <c r="N145" s="428">
        <f>K145-M145</f>
        <v>0</v>
      </c>
      <c r="O145" s="67">
        <f t="shared" si="37"/>
        <v>100</v>
      </c>
      <c r="P145" s="428"/>
      <c r="Q145" s="429" t="s">
        <v>173</v>
      </c>
      <c r="R145" s="324">
        <f t="shared" si="38"/>
        <v>0</v>
      </c>
    </row>
    <row r="146" spans="1:18" s="320" customFormat="1" ht="63" x14ac:dyDescent="0.2">
      <c r="A146" s="12"/>
      <c r="B146" s="13"/>
      <c r="C146" s="33"/>
      <c r="D146" s="111" t="s">
        <v>279</v>
      </c>
      <c r="E146" s="67">
        <f>F146</f>
        <v>790000</v>
      </c>
      <c r="F146" s="527">
        <f>792000-2000</f>
        <v>790000</v>
      </c>
      <c r="G146" s="23">
        <v>0</v>
      </c>
      <c r="H146" s="257" t="s">
        <v>388</v>
      </c>
      <c r="I146" s="432" t="s">
        <v>445</v>
      </c>
      <c r="J146" s="433" t="s">
        <v>456</v>
      </c>
      <c r="K146" s="354">
        <v>790000</v>
      </c>
      <c r="L146" s="354">
        <f>F146-K146</f>
        <v>0</v>
      </c>
      <c r="M146" s="428">
        <v>790000</v>
      </c>
      <c r="N146" s="428">
        <f>K146-M146</f>
        <v>0</v>
      </c>
      <c r="O146" s="67">
        <f>M146*100/K146</f>
        <v>100</v>
      </c>
      <c r="P146" s="428"/>
      <c r="Q146" s="429" t="s">
        <v>24</v>
      </c>
      <c r="R146" s="324">
        <f t="shared" si="38"/>
        <v>0</v>
      </c>
    </row>
    <row r="147" spans="1:18" s="320" customFormat="1" ht="56.25" x14ac:dyDescent="0.2">
      <c r="A147" s="27"/>
      <c r="B147" s="28"/>
      <c r="C147" s="28"/>
      <c r="D147" s="434" t="s">
        <v>59</v>
      </c>
      <c r="E147" s="525">
        <f>F147</f>
        <v>656685.9</v>
      </c>
      <c r="F147" s="531">
        <f>990000-303625-29689.1</f>
        <v>656685.9</v>
      </c>
      <c r="G147" s="14">
        <v>0</v>
      </c>
      <c r="H147" s="257" t="s">
        <v>388</v>
      </c>
      <c r="I147" s="432" t="s">
        <v>446</v>
      </c>
      <c r="J147" s="435" t="s">
        <v>447</v>
      </c>
      <c r="K147" s="436">
        <v>656685.9</v>
      </c>
      <c r="L147" s="428">
        <f>F147-K147</f>
        <v>0</v>
      </c>
      <c r="M147" s="436">
        <v>656685.9</v>
      </c>
      <c r="N147" s="428">
        <f>K147-M147</f>
        <v>0</v>
      </c>
      <c r="O147" s="67">
        <f>M147*100/K147</f>
        <v>100</v>
      </c>
      <c r="P147" s="67"/>
      <c r="Q147" s="606" t="s">
        <v>280</v>
      </c>
      <c r="R147" s="324">
        <f t="shared" si="38"/>
        <v>0</v>
      </c>
    </row>
    <row r="148" spans="1:18" s="320" customFormat="1" ht="42.75" customHeight="1" x14ac:dyDescent="0.2">
      <c r="A148" s="17"/>
      <c r="B148" s="670" t="s">
        <v>61</v>
      </c>
      <c r="C148" s="670"/>
      <c r="D148" s="671"/>
      <c r="E148" s="66">
        <f>F148+G148</f>
        <v>1977600</v>
      </c>
      <c r="F148" s="110">
        <f>F149+F151</f>
        <v>0</v>
      </c>
      <c r="G148" s="108">
        <f>G149+G151</f>
        <v>1977600</v>
      </c>
      <c r="H148" s="355"/>
      <c r="I148" s="356"/>
      <c r="J148" s="355"/>
      <c r="K148" s="108">
        <f t="shared" ref="K148:P148" si="40">K149+K151</f>
        <v>0</v>
      </c>
      <c r="L148" s="108">
        <f t="shared" si="40"/>
        <v>0</v>
      </c>
      <c r="M148" s="357">
        <f t="shared" si="40"/>
        <v>977600</v>
      </c>
      <c r="N148" s="66">
        <f t="shared" si="40"/>
        <v>1000000</v>
      </c>
      <c r="O148" s="437">
        <f t="shared" ref="O148:O155" si="41">M148*100/G148</f>
        <v>49.433656957928804</v>
      </c>
      <c r="P148" s="66">
        <f t="shared" si="40"/>
        <v>0</v>
      </c>
      <c r="Q148" s="438"/>
      <c r="R148" s="324">
        <f t="shared" si="38"/>
        <v>0</v>
      </c>
    </row>
    <row r="149" spans="1:18" s="320" customFormat="1" ht="44.25" customHeight="1" x14ac:dyDescent="0.2">
      <c r="A149" s="24"/>
      <c r="B149" s="25"/>
      <c r="C149" s="668" t="s">
        <v>62</v>
      </c>
      <c r="D149" s="669"/>
      <c r="E149" s="66">
        <f>F149+G149</f>
        <v>1000000</v>
      </c>
      <c r="F149" s="66">
        <f>F150</f>
        <v>0</v>
      </c>
      <c r="G149" s="11">
        <f>G150</f>
        <v>1000000</v>
      </c>
      <c r="H149" s="334"/>
      <c r="I149" s="335"/>
      <c r="J149" s="334"/>
      <c r="K149" s="11">
        <f t="shared" ref="K149:P149" si="42">K150</f>
        <v>0</v>
      </c>
      <c r="L149" s="11">
        <f t="shared" si="42"/>
        <v>0</v>
      </c>
      <c r="M149" s="66">
        <f t="shared" si="42"/>
        <v>0</v>
      </c>
      <c r="N149" s="66">
        <f t="shared" si="42"/>
        <v>1000000</v>
      </c>
      <c r="O149" s="66">
        <f t="shared" si="41"/>
        <v>0</v>
      </c>
      <c r="P149" s="66">
        <f t="shared" si="42"/>
        <v>0</v>
      </c>
      <c r="Q149" s="21"/>
      <c r="R149" s="324">
        <f t="shared" si="38"/>
        <v>0</v>
      </c>
    </row>
    <row r="150" spans="1:18" s="320" customFormat="1" ht="47.25" x14ac:dyDescent="0.2">
      <c r="A150" s="12"/>
      <c r="B150" s="13"/>
      <c r="C150" s="316"/>
      <c r="D150" s="293" t="s">
        <v>63</v>
      </c>
      <c r="E150" s="67">
        <f>G150</f>
        <v>1000000</v>
      </c>
      <c r="F150" s="67">
        <v>0</v>
      </c>
      <c r="G150" s="20">
        <v>1000000</v>
      </c>
      <c r="H150" s="439" t="s">
        <v>349</v>
      </c>
      <c r="I150" s="339"/>
      <c r="J150" s="340"/>
      <c r="K150" s="20"/>
      <c r="L150" s="20"/>
      <c r="M150" s="59"/>
      <c r="N150" s="59">
        <f>G150-M150</f>
        <v>1000000</v>
      </c>
      <c r="O150" s="59">
        <f t="shared" si="41"/>
        <v>0</v>
      </c>
      <c r="P150" s="59"/>
      <c r="Q150" s="16" t="s">
        <v>57</v>
      </c>
      <c r="R150" s="324">
        <f t="shared" si="38"/>
        <v>0</v>
      </c>
    </row>
    <row r="151" spans="1:18" s="320" customFormat="1" x14ac:dyDescent="0.2">
      <c r="A151" s="24"/>
      <c r="B151" s="25"/>
      <c r="C151" s="674" t="s">
        <v>64</v>
      </c>
      <c r="D151" s="675"/>
      <c r="E151" s="66">
        <f>F151+G151</f>
        <v>977600</v>
      </c>
      <c r="F151" s="66">
        <f>F152</f>
        <v>0</v>
      </c>
      <c r="G151" s="11">
        <f>G152</f>
        <v>977600</v>
      </c>
      <c r="H151" s="334"/>
      <c r="I151" s="335"/>
      <c r="J151" s="334"/>
      <c r="K151" s="11">
        <f t="shared" ref="K151:P151" si="43">K152</f>
        <v>0</v>
      </c>
      <c r="L151" s="11">
        <f t="shared" si="43"/>
        <v>0</v>
      </c>
      <c r="M151" s="66">
        <f t="shared" si="43"/>
        <v>977600</v>
      </c>
      <c r="N151" s="66">
        <f t="shared" si="43"/>
        <v>0</v>
      </c>
      <c r="O151" s="357">
        <f t="shared" si="41"/>
        <v>100</v>
      </c>
      <c r="P151" s="66">
        <f t="shared" si="43"/>
        <v>0</v>
      </c>
      <c r="Q151" s="440"/>
      <c r="R151" s="324">
        <f t="shared" si="38"/>
        <v>0</v>
      </c>
    </row>
    <row r="152" spans="1:18" s="320" customFormat="1" ht="37.5" x14ac:dyDescent="0.2">
      <c r="A152" s="12"/>
      <c r="B152" s="13"/>
      <c r="C152" s="316"/>
      <c r="D152" s="293" t="s">
        <v>65</v>
      </c>
      <c r="E152" s="67">
        <f>G152</f>
        <v>977600</v>
      </c>
      <c r="F152" s="67">
        <v>0</v>
      </c>
      <c r="G152" s="20">
        <f>1000000-22400</f>
        <v>977600</v>
      </c>
      <c r="H152" s="336" t="s">
        <v>349</v>
      </c>
      <c r="I152" s="339"/>
      <c r="J152" s="340"/>
      <c r="K152" s="20"/>
      <c r="L152" s="20"/>
      <c r="M152" s="59">
        <f>97760+684320+195520</f>
        <v>977600</v>
      </c>
      <c r="N152" s="59">
        <f>G152-M152-P152</f>
        <v>0</v>
      </c>
      <c r="O152" s="59">
        <f t="shared" si="41"/>
        <v>100</v>
      </c>
      <c r="P152" s="59">
        <v>0</v>
      </c>
      <c r="Q152" s="16" t="s">
        <v>281</v>
      </c>
      <c r="R152" s="324">
        <f t="shared" si="38"/>
        <v>0</v>
      </c>
    </row>
    <row r="153" spans="1:18" s="320" customFormat="1" ht="25.5" customHeight="1" x14ac:dyDescent="0.2">
      <c r="A153" s="17"/>
      <c r="B153" s="670" t="s">
        <v>66</v>
      </c>
      <c r="C153" s="670"/>
      <c r="D153" s="671"/>
      <c r="E153" s="357">
        <f>F153+G153</f>
        <v>12487611</v>
      </c>
      <c r="F153" s="357">
        <f>F154</f>
        <v>0</v>
      </c>
      <c r="G153" s="108">
        <f>G154</f>
        <v>12487611</v>
      </c>
      <c r="H153" s="355"/>
      <c r="I153" s="356"/>
      <c r="J153" s="355"/>
      <c r="K153" s="108">
        <f t="shared" ref="K153:P153" si="44">K154</f>
        <v>0</v>
      </c>
      <c r="L153" s="108">
        <f t="shared" si="44"/>
        <v>0</v>
      </c>
      <c r="M153" s="357">
        <f t="shared" si="44"/>
        <v>9031261</v>
      </c>
      <c r="N153" s="357">
        <f t="shared" si="44"/>
        <v>3456350</v>
      </c>
      <c r="O153" s="357">
        <f t="shared" si="41"/>
        <v>72.321767550254407</v>
      </c>
      <c r="P153" s="357">
        <f t="shared" si="44"/>
        <v>0</v>
      </c>
      <c r="Q153" s="21"/>
      <c r="R153" s="324">
        <f t="shared" si="38"/>
        <v>0</v>
      </c>
    </row>
    <row r="154" spans="1:18" s="320" customFormat="1" ht="43.5" customHeight="1" x14ac:dyDescent="0.2">
      <c r="A154" s="12"/>
      <c r="B154" s="13"/>
      <c r="C154" s="668" t="s">
        <v>67</v>
      </c>
      <c r="D154" s="669"/>
      <c r="E154" s="66">
        <f>F154+G154</f>
        <v>12487611</v>
      </c>
      <c r="F154" s="66">
        <f>SUM(F155:F173)</f>
        <v>0</v>
      </c>
      <c r="G154" s="11">
        <f>SUM(G155:G173)</f>
        <v>12487611</v>
      </c>
      <c r="H154" s="334"/>
      <c r="I154" s="335"/>
      <c r="J154" s="334"/>
      <c r="K154" s="11">
        <f t="shared" ref="K154:P154" si="45">SUM(K155:K173)</f>
        <v>0</v>
      </c>
      <c r="L154" s="11">
        <f t="shared" si="45"/>
        <v>0</v>
      </c>
      <c r="M154" s="66">
        <f t="shared" si="45"/>
        <v>9031261</v>
      </c>
      <c r="N154" s="66">
        <f t="shared" si="45"/>
        <v>3456350</v>
      </c>
      <c r="O154" s="66">
        <f t="shared" si="41"/>
        <v>72.321767550254407</v>
      </c>
      <c r="P154" s="66">
        <f t="shared" si="45"/>
        <v>0</v>
      </c>
      <c r="Q154" s="21"/>
      <c r="R154" s="324">
        <f t="shared" si="38"/>
        <v>0</v>
      </c>
    </row>
    <row r="155" spans="1:18" s="320" customFormat="1" ht="31.5" x14ac:dyDescent="0.2">
      <c r="A155" s="441"/>
      <c r="B155" s="442"/>
      <c r="C155" s="442"/>
      <c r="D155" s="443" t="s">
        <v>68</v>
      </c>
      <c r="E155" s="526">
        <f>G155</f>
        <v>287000</v>
      </c>
      <c r="F155" s="526">
        <v>0</v>
      </c>
      <c r="G155" s="444">
        <v>287000</v>
      </c>
      <c r="H155" s="336" t="s">
        <v>388</v>
      </c>
      <c r="I155" s="445"/>
      <c r="J155" s="446"/>
      <c r="K155" s="444"/>
      <c r="L155" s="444"/>
      <c r="M155" s="308">
        <f>177000+24000+23500+62500</f>
        <v>287000</v>
      </c>
      <c r="N155" s="308">
        <f>G155-M155</f>
        <v>0</v>
      </c>
      <c r="O155" s="308">
        <f t="shared" si="41"/>
        <v>100</v>
      </c>
      <c r="P155" s="308"/>
      <c r="Q155" s="447" t="s">
        <v>69</v>
      </c>
      <c r="R155" s="324">
        <f t="shared" si="38"/>
        <v>0</v>
      </c>
    </row>
    <row r="156" spans="1:18" s="320" customFormat="1" ht="31.5" x14ac:dyDescent="0.2">
      <c r="A156" s="17"/>
      <c r="B156" s="18"/>
      <c r="C156" s="18"/>
      <c r="D156" s="19" t="s">
        <v>70</v>
      </c>
      <c r="E156" s="526">
        <f t="shared" ref="E156:E173" si="46">G156</f>
        <v>100000</v>
      </c>
      <c r="F156" s="368">
        <v>0</v>
      </c>
      <c r="G156" s="15">
        <v>100000</v>
      </c>
      <c r="H156" s="336" t="s">
        <v>388</v>
      </c>
      <c r="I156" s="337"/>
      <c r="J156" s="338"/>
      <c r="K156" s="15"/>
      <c r="L156" s="15"/>
      <c r="M156" s="58">
        <f>72600+27400</f>
        <v>100000</v>
      </c>
      <c r="N156" s="308">
        <f t="shared" ref="N156:N173" si="47">G156-M156</f>
        <v>0</v>
      </c>
      <c r="O156" s="308">
        <f t="shared" ref="O156:O173" si="48">M156*100/G156</f>
        <v>100</v>
      </c>
      <c r="P156" s="61"/>
      <c r="Q156" s="319" t="s">
        <v>69</v>
      </c>
      <c r="R156" s="324">
        <f t="shared" si="38"/>
        <v>0</v>
      </c>
    </row>
    <row r="157" spans="1:18" s="320" customFormat="1" ht="42" x14ac:dyDescent="0.2">
      <c r="A157" s="24"/>
      <c r="B157" s="25"/>
      <c r="C157" s="25"/>
      <c r="D157" s="393" t="s">
        <v>85</v>
      </c>
      <c r="E157" s="526">
        <f t="shared" si="46"/>
        <v>430000</v>
      </c>
      <c r="F157" s="423">
        <v>0</v>
      </c>
      <c r="G157" s="395">
        <v>430000</v>
      </c>
      <c r="H157" s="336" t="s">
        <v>388</v>
      </c>
      <c r="I157" s="396"/>
      <c r="J157" s="397"/>
      <c r="K157" s="398"/>
      <c r="L157" s="398"/>
      <c r="M157" s="399">
        <v>430000</v>
      </c>
      <c r="N157" s="308">
        <f t="shared" si="47"/>
        <v>0</v>
      </c>
      <c r="O157" s="308">
        <f t="shared" si="48"/>
        <v>100</v>
      </c>
      <c r="P157" s="399"/>
      <c r="Q157" s="318" t="s">
        <v>69</v>
      </c>
      <c r="R157" s="324">
        <f t="shared" si="38"/>
        <v>0</v>
      </c>
    </row>
    <row r="158" spans="1:18" s="320" customFormat="1" x14ac:dyDescent="0.2">
      <c r="A158" s="12"/>
      <c r="B158" s="13"/>
      <c r="C158" s="13"/>
      <c r="D158" s="293" t="s">
        <v>86</v>
      </c>
      <c r="E158" s="67">
        <f t="shared" si="46"/>
        <v>500000</v>
      </c>
      <c r="F158" s="67">
        <v>0</v>
      </c>
      <c r="G158" s="20">
        <v>500000</v>
      </c>
      <c r="H158" s="439" t="s">
        <v>388</v>
      </c>
      <c r="I158" s="339"/>
      <c r="J158" s="340"/>
      <c r="K158" s="20"/>
      <c r="L158" s="20"/>
      <c r="M158" s="59">
        <f>52000+430000+4500+9900+3600</f>
        <v>500000</v>
      </c>
      <c r="N158" s="59">
        <f t="shared" si="47"/>
        <v>0</v>
      </c>
      <c r="O158" s="59">
        <f t="shared" si="48"/>
        <v>100</v>
      </c>
      <c r="P158" s="59"/>
      <c r="Q158" s="16" t="s">
        <v>24</v>
      </c>
      <c r="R158" s="324">
        <f t="shared" si="38"/>
        <v>0</v>
      </c>
    </row>
    <row r="159" spans="1:18" s="320" customFormat="1" ht="27" customHeight="1" x14ac:dyDescent="0.2">
      <c r="A159" s="12"/>
      <c r="B159" s="13"/>
      <c r="C159" s="13"/>
      <c r="D159" s="448" t="s">
        <v>71</v>
      </c>
      <c r="E159" s="526">
        <f t="shared" si="46"/>
        <v>500000</v>
      </c>
      <c r="F159" s="67">
        <v>0</v>
      </c>
      <c r="G159" s="20">
        <v>500000</v>
      </c>
      <c r="H159" s="439" t="s">
        <v>388</v>
      </c>
      <c r="I159" s="339"/>
      <c r="J159" s="340"/>
      <c r="K159" s="20"/>
      <c r="L159" s="20"/>
      <c r="M159" s="59">
        <v>500000</v>
      </c>
      <c r="N159" s="308">
        <f t="shared" si="47"/>
        <v>0</v>
      </c>
      <c r="O159" s="308">
        <f t="shared" si="48"/>
        <v>100</v>
      </c>
      <c r="P159" s="399"/>
      <c r="Q159" s="16" t="s">
        <v>173</v>
      </c>
      <c r="R159" s="324">
        <f t="shared" si="38"/>
        <v>0</v>
      </c>
    </row>
    <row r="160" spans="1:18" s="320" customFormat="1" ht="35.25" customHeight="1" x14ac:dyDescent="0.2">
      <c r="A160" s="17"/>
      <c r="B160" s="18"/>
      <c r="C160" s="18"/>
      <c r="D160" s="449" t="s">
        <v>72</v>
      </c>
      <c r="E160" s="67">
        <f t="shared" si="46"/>
        <v>500000</v>
      </c>
      <c r="F160" s="368">
        <v>0</v>
      </c>
      <c r="G160" s="15">
        <v>500000</v>
      </c>
      <c r="H160" s="439" t="s">
        <v>388</v>
      </c>
      <c r="I160" s="337"/>
      <c r="J160" s="338"/>
      <c r="K160" s="15"/>
      <c r="L160" s="15"/>
      <c r="M160" s="58">
        <f>300000+30000+70000+100000</f>
        <v>500000</v>
      </c>
      <c r="N160" s="59">
        <f t="shared" si="47"/>
        <v>0</v>
      </c>
      <c r="O160" s="59">
        <f t="shared" si="48"/>
        <v>100</v>
      </c>
      <c r="P160" s="67"/>
      <c r="Q160" s="450" t="s">
        <v>26</v>
      </c>
      <c r="R160" s="324">
        <f t="shared" si="38"/>
        <v>0</v>
      </c>
    </row>
    <row r="161" spans="1:18" s="320" customFormat="1" x14ac:dyDescent="0.2">
      <c r="A161" s="12"/>
      <c r="B161" s="13"/>
      <c r="C161" s="13"/>
      <c r="D161" s="448" t="s">
        <v>73</v>
      </c>
      <c r="E161" s="526">
        <f t="shared" si="46"/>
        <v>500000</v>
      </c>
      <c r="F161" s="67">
        <v>0</v>
      </c>
      <c r="G161" s="20">
        <v>500000</v>
      </c>
      <c r="H161" s="336" t="s">
        <v>388</v>
      </c>
      <c r="I161" s="339"/>
      <c r="J161" s="340"/>
      <c r="K161" s="20"/>
      <c r="L161" s="20"/>
      <c r="M161" s="59">
        <f>50000+100000+50000+100000+100000+100000</f>
        <v>500000</v>
      </c>
      <c r="N161" s="308">
        <f t="shared" si="47"/>
        <v>0</v>
      </c>
      <c r="O161" s="308">
        <f t="shared" si="48"/>
        <v>100</v>
      </c>
      <c r="P161" s="67"/>
      <c r="Q161" s="451" t="s">
        <v>27</v>
      </c>
      <c r="R161" s="324">
        <f t="shared" si="38"/>
        <v>0</v>
      </c>
    </row>
    <row r="162" spans="1:18" s="320" customFormat="1" ht="31.5" x14ac:dyDescent="0.2">
      <c r="A162" s="17"/>
      <c r="B162" s="18"/>
      <c r="C162" s="18"/>
      <c r="D162" s="19" t="s">
        <v>84</v>
      </c>
      <c r="E162" s="526">
        <f t="shared" si="46"/>
        <v>399700</v>
      </c>
      <c r="F162" s="368">
        <v>0</v>
      </c>
      <c r="G162" s="15">
        <f>400000-300</f>
        <v>399700</v>
      </c>
      <c r="H162" s="336" t="s">
        <v>388</v>
      </c>
      <c r="I162" s="337"/>
      <c r="J162" s="338"/>
      <c r="K162" s="15"/>
      <c r="L162" s="15"/>
      <c r="M162" s="58">
        <f>60000+64200+3100+240000+32400</f>
        <v>399700</v>
      </c>
      <c r="N162" s="308">
        <f>G162-M162-P162</f>
        <v>0</v>
      </c>
      <c r="O162" s="308">
        <v>100</v>
      </c>
      <c r="P162" s="61">
        <v>0</v>
      </c>
      <c r="Q162" s="450" t="s">
        <v>26</v>
      </c>
      <c r="R162" s="324">
        <f t="shared" si="38"/>
        <v>0</v>
      </c>
    </row>
    <row r="163" spans="1:18" s="320" customFormat="1" x14ac:dyDescent="0.2">
      <c r="A163" s="12"/>
      <c r="B163" s="13"/>
      <c r="C163" s="13"/>
      <c r="D163" s="448" t="s">
        <v>74</v>
      </c>
      <c r="E163" s="526">
        <f t="shared" si="46"/>
        <v>500000</v>
      </c>
      <c r="F163" s="67">
        <v>0</v>
      </c>
      <c r="G163" s="20">
        <v>500000</v>
      </c>
      <c r="H163" s="439" t="s">
        <v>388</v>
      </c>
      <c r="I163" s="339"/>
      <c r="J163" s="340"/>
      <c r="K163" s="20"/>
      <c r="L163" s="20"/>
      <c r="M163" s="59">
        <v>500000</v>
      </c>
      <c r="N163" s="308">
        <f t="shared" si="47"/>
        <v>0</v>
      </c>
      <c r="O163" s="308">
        <f t="shared" si="48"/>
        <v>100</v>
      </c>
      <c r="P163" s="399"/>
      <c r="Q163" s="16" t="s">
        <v>173</v>
      </c>
      <c r="R163" s="324">
        <f t="shared" si="38"/>
        <v>0</v>
      </c>
    </row>
    <row r="164" spans="1:18" s="320" customFormat="1" x14ac:dyDescent="0.2">
      <c r="A164" s="9"/>
      <c r="B164" s="22"/>
      <c r="C164" s="22"/>
      <c r="D164" s="452" t="s">
        <v>87</v>
      </c>
      <c r="E164" s="526">
        <f t="shared" si="46"/>
        <v>527500</v>
      </c>
      <c r="F164" s="368">
        <v>0</v>
      </c>
      <c r="G164" s="15">
        <v>527500</v>
      </c>
      <c r="H164" s="439" t="s">
        <v>388</v>
      </c>
      <c r="I164" s="344"/>
      <c r="J164" s="345"/>
      <c r="K164" s="343"/>
      <c r="L164" s="343"/>
      <c r="M164" s="61">
        <f>55000+90000+151500+35000+117300+4500+3600+3600+57000+10000</f>
        <v>527500</v>
      </c>
      <c r="N164" s="308">
        <f t="shared" si="47"/>
        <v>0</v>
      </c>
      <c r="O164" s="308">
        <f t="shared" si="48"/>
        <v>100</v>
      </c>
      <c r="P164" s="399"/>
      <c r="Q164" s="318" t="s">
        <v>174</v>
      </c>
      <c r="R164" s="324">
        <f t="shared" si="38"/>
        <v>0</v>
      </c>
    </row>
    <row r="165" spans="1:18" s="320" customFormat="1" ht="42" x14ac:dyDescent="0.2">
      <c r="A165" s="12"/>
      <c r="B165" s="13"/>
      <c r="C165" s="13"/>
      <c r="D165" s="448" t="s">
        <v>162</v>
      </c>
      <c r="E165" s="526">
        <f t="shared" si="46"/>
        <v>422700</v>
      </c>
      <c r="F165" s="67">
        <v>0</v>
      </c>
      <c r="G165" s="20">
        <v>422700</v>
      </c>
      <c r="H165" s="439" t="s">
        <v>388</v>
      </c>
      <c r="I165" s="339"/>
      <c r="J165" s="340"/>
      <c r="K165" s="20"/>
      <c r="L165" s="20"/>
      <c r="M165" s="59">
        <f>422700</f>
        <v>422700</v>
      </c>
      <c r="N165" s="308">
        <f t="shared" si="47"/>
        <v>0</v>
      </c>
      <c r="O165" s="308">
        <f t="shared" si="48"/>
        <v>100</v>
      </c>
      <c r="P165" s="67"/>
      <c r="Q165" s="451" t="s">
        <v>175</v>
      </c>
      <c r="R165" s="324">
        <f t="shared" si="38"/>
        <v>0</v>
      </c>
    </row>
    <row r="166" spans="1:18" s="320" customFormat="1" ht="37.5" x14ac:dyDescent="0.2">
      <c r="A166" s="9"/>
      <c r="B166" s="22"/>
      <c r="C166" s="22"/>
      <c r="D166" s="452" t="s">
        <v>75</v>
      </c>
      <c r="E166" s="526">
        <f t="shared" si="46"/>
        <v>500000</v>
      </c>
      <c r="F166" s="368">
        <v>0</v>
      </c>
      <c r="G166" s="15">
        <v>500000</v>
      </c>
      <c r="H166" s="336" t="s">
        <v>349</v>
      </c>
      <c r="I166" s="337"/>
      <c r="J166" s="338"/>
      <c r="K166" s="15"/>
      <c r="L166" s="15"/>
      <c r="M166" s="58">
        <f>41500+64500+40000+8000+55000+6000+35000</f>
        <v>250000</v>
      </c>
      <c r="N166" s="308">
        <f t="shared" si="47"/>
        <v>250000</v>
      </c>
      <c r="O166" s="308">
        <f t="shared" si="48"/>
        <v>50</v>
      </c>
      <c r="P166" s="61"/>
      <c r="Q166" s="450" t="s">
        <v>176</v>
      </c>
      <c r="R166" s="324">
        <f t="shared" si="38"/>
        <v>0</v>
      </c>
    </row>
    <row r="167" spans="1:18" s="320" customFormat="1" ht="47.25" x14ac:dyDescent="0.2">
      <c r="A167" s="12"/>
      <c r="B167" s="13"/>
      <c r="C167" s="13"/>
      <c r="D167" s="448" t="s">
        <v>76</v>
      </c>
      <c r="E167" s="526">
        <f t="shared" si="46"/>
        <v>1320711</v>
      </c>
      <c r="F167" s="67">
        <v>0</v>
      </c>
      <c r="G167" s="20">
        <f>1332800-12089</f>
        <v>1320711</v>
      </c>
      <c r="H167" s="336" t="s">
        <v>388</v>
      </c>
      <c r="I167" s="339"/>
      <c r="J167" s="340"/>
      <c r="K167" s="20"/>
      <c r="L167" s="20"/>
      <c r="M167" s="59">
        <f>28000+28000+40000+118800+3500+35000+35000+35000+29760+70000+70000+48000+35000+4200+35000+12000+35000+23811+25000+4800+10000+120000+100000+35000+35000+34840+35000+200000+35000</f>
        <v>1320711</v>
      </c>
      <c r="N167" s="308">
        <f>G167-M167-P167</f>
        <v>0</v>
      </c>
      <c r="O167" s="308">
        <v>100</v>
      </c>
      <c r="P167" s="399">
        <v>0</v>
      </c>
      <c r="Q167" s="451" t="s">
        <v>14</v>
      </c>
      <c r="R167" s="324">
        <f t="shared" si="38"/>
        <v>0</v>
      </c>
    </row>
    <row r="168" spans="1:18" s="320" customFormat="1" x14ac:dyDescent="0.2">
      <c r="A168" s="12"/>
      <c r="B168" s="13"/>
      <c r="C168" s="13"/>
      <c r="D168" s="448" t="s">
        <v>77</v>
      </c>
      <c r="E168" s="526">
        <f t="shared" si="46"/>
        <v>1000000</v>
      </c>
      <c r="F168" s="67">
        <v>0</v>
      </c>
      <c r="G168" s="20">
        <v>1000000</v>
      </c>
      <c r="H168" s="439" t="s">
        <v>388</v>
      </c>
      <c r="I168" s="339"/>
      <c r="J168" s="340"/>
      <c r="K168" s="20"/>
      <c r="L168" s="20"/>
      <c r="M168" s="59">
        <f>80000+150000+450000+45400+83000+22000+100000+60000+4800+4800</f>
        <v>1000000</v>
      </c>
      <c r="N168" s="308">
        <f t="shared" si="47"/>
        <v>0</v>
      </c>
      <c r="O168" s="308">
        <f t="shared" si="48"/>
        <v>100</v>
      </c>
      <c r="P168" s="399"/>
      <c r="Q168" s="451" t="s">
        <v>24</v>
      </c>
      <c r="R168" s="324">
        <f t="shared" si="38"/>
        <v>0</v>
      </c>
    </row>
    <row r="169" spans="1:18" s="320" customFormat="1" ht="37.5" x14ac:dyDescent="0.2">
      <c r="A169" s="12"/>
      <c r="B169" s="13"/>
      <c r="C169" s="13"/>
      <c r="D169" s="448" t="s">
        <v>78</v>
      </c>
      <c r="E169" s="67">
        <f t="shared" si="46"/>
        <v>1000000</v>
      </c>
      <c r="F169" s="67">
        <v>0</v>
      </c>
      <c r="G169" s="23">
        <v>1000000</v>
      </c>
      <c r="H169" s="439" t="s">
        <v>349</v>
      </c>
      <c r="I169" s="346"/>
      <c r="J169" s="347"/>
      <c r="K169" s="23"/>
      <c r="L169" s="23"/>
      <c r="M169" s="67"/>
      <c r="N169" s="59">
        <f t="shared" si="47"/>
        <v>1000000</v>
      </c>
      <c r="O169" s="59">
        <f t="shared" si="48"/>
        <v>0</v>
      </c>
      <c r="P169" s="59"/>
      <c r="Q169" s="451" t="s">
        <v>173</v>
      </c>
      <c r="R169" s="324">
        <f t="shared" si="38"/>
        <v>0</v>
      </c>
    </row>
    <row r="170" spans="1:18" s="320" customFormat="1" ht="37.5" x14ac:dyDescent="0.2">
      <c r="A170" s="12"/>
      <c r="B170" s="13"/>
      <c r="C170" s="13"/>
      <c r="D170" s="453" t="s">
        <v>79</v>
      </c>
      <c r="E170" s="67">
        <f t="shared" si="46"/>
        <v>1000000</v>
      </c>
      <c r="F170" s="527">
        <v>0</v>
      </c>
      <c r="G170" s="23">
        <v>1000000</v>
      </c>
      <c r="H170" s="439" t="s">
        <v>349</v>
      </c>
      <c r="I170" s="346"/>
      <c r="J170" s="347"/>
      <c r="K170" s="23"/>
      <c r="L170" s="23"/>
      <c r="M170" s="67">
        <f>82500+51050+47600+30000+30000+52500</f>
        <v>293650</v>
      </c>
      <c r="N170" s="59">
        <f t="shared" si="47"/>
        <v>706350</v>
      </c>
      <c r="O170" s="59">
        <f t="shared" si="48"/>
        <v>29.364999999999998</v>
      </c>
      <c r="P170" s="59"/>
      <c r="Q170" s="451" t="s">
        <v>28</v>
      </c>
      <c r="R170" s="324">
        <f t="shared" si="38"/>
        <v>0</v>
      </c>
    </row>
    <row r="171" spans="1:18" s="320" customFormat="1" ht="37.5" x14ac:dyDescent="0.2">
      <c r="A171" s="12"/>
      <c r="B171" s="13"/>
      <c r="C171" s="13"/>
      <c r="D171" s="453" t="s">
        <v>80</v>
      </c>
      <c r="E171" s="526">
        <f t="shared" si="46"/>
        <v>1000000</v>
      </c>
      <c r="F171" s="527">
        <v>0</v>
      </c>
      <c r="G171" s="23">
        <v>1000000</v>
      </c>
      <c r="H171" s="439" t="s">
        <v>349</v>
      </c>
      <c r="I171" s="346"/>
      <c r="J171" s="347"/>
      <c r="K171" s="23"/>
      <c r="L171" s="23"/>
      <c r="M171" s="67"/>
      <c r="N171" s="308">
        <f t="shared" si="47"/>
        <v>1000000</v>
      </c>
      <c r="O171" s="67">
        <f t="shared" si="48"/>
        <v>0</v>
      </c>
      <c r="P171" s="399"/>
      <c r="Q171" s="16" t="s">
        <v>9</v>
      </c>
      <c r="R171" s="324">
        <f t="shared" si="38"/>
        <v>0</v>
      </c>
    </row>
    <row r="172" spans="1:18" s="320" customFormat="1" ht="31.5" x14ac:dyDescent="0.2">
      <c r="A172" s="12"/>
      <c r="B172" s="13"/>
      <c r="C172" s="13"/>
      <c r="D172" s="448" t="s">
        <v>81</v>
      </c>
      <c r="E172" s="526">
        <f t="shared" si="46"/>
        <v>1000000</v>
      </c>
      <c r="F172" s="67">
        <v>0</v>
      </c>
      <c r="G172" s="20">
        <v>1000000</v>
      </c>
      <c r="H172" s="336" t="s">
        <v>388</v>
      </c>
      <c r="I172" s="339"/>
      <c r="J172" s="340"/>
      <c r="K172" s="20"/>
      <c r="L172" s="20"/>
      <c r="M172" s="59">
        <v>1000000</v>
      </c>
      <c r="N172" s="308">
        <f t="shared" si="47"/>
        <v>0</v>
      </c>
      <c r="O172" s="59">
        <f t="shared" si="48"/>
        <v>100</v>
      </c>
      <c r="P172" s="67"/>
      <c r="Q172" s="16" t="s">
        <v>9</v>
      </c>
      <c r="R172" s="324">
        <f t="shared" si="38"/>
        <v>0</v>
      </c>
    </row>
    <row r="173" spans="1:18" s="320" customFormat="1" ht="63" x14ac:dyDescent="0.2">
      <c r="A173" s="17"/>
      <c r="B173" s="18"/>
      <c r="C173" s="18"/>
      <c r="D173" s="449" t="s">
        <v>443</v>
      </c>
      <c r="E173" s="526">
        <f t="shared" si="46"/>
        <v>1000000</v>
      </c>
      <c r="F173" s="67">
        <v>0</v>
      </c>
      <c r="G173" s="15">
        <v>1000000</v>
      </c>
      <c r="H173" s="439" t="s">
        <v>349</v>
      </c>
      <c r="I173" s="337"/>
      <c r="J173" s="338"/>
      <c r="K173" s="15"/>
      <c r="L173" s="15"/>
      <c r="M173" s="58">
        <f>170000+80000+35000+100000+15000+24000+44000+32000</f>
        <v>500000</v>
      </c>
      <c r="N173" s="308">
        <f t="shared" si="47"/>
        <v>500000</v>
      </c>
      <c r="O173" s="308">
        <f t="shared" si="48"/>
        <v>50</v>
      </c>
      <c r="P173" s="399"/>
      <c r="Q173" s="451" t="s">
        <v>579</v>
      </c>
      <c r="R173" s="324">
        <f t="shared" si="38"/>
        <v>0</v>
      </c>
    </row>
    <row r="174" spans="1:18" s="320" customFormat="1" ht="45" customHeight="1" x14ac:dyDescent="0.2">
      <c r="A174" s="17"/>
      <c r="B174" s="670" t="s">
        <v>163</v>
      </c>
      <c r="C174" s="670"/>
      <c r="D174" s="671"/>
      <c r="E174" s="357">
        <f>F174+G174</f>
        <v>3926205</v>
      </c>
      <c r="F174" s="357">
        <f>F175+F177</f>
        <v>0</v>
      </c>
      <c r="G174" s="108">
        <f>G175+G177</f>
        <v>3926205</v>
      </c>
      <c r="H174" s="355"/>
      <c r="I174" s="356"/>
      <c r="J174" s="355"/>
      <c r="K174" s="108">
        <f t="shared" ref="K174:P174" si="49">K175+K177</f>
        <v>0</v>
      </c>
      <c r="L174" s="108">
        <f t="shared" si="49"/>
        <v>0</v>
      </c>
      <c r="M174" s="357">
        <f t="shared" si="49"/>
        <v>3896000</v>
      </c>
      <c r="N174" s="357">
        <f t="shared" si="49"/>
        <v>0</v>
      </c>
      <c r="O174" s="357">
        <v>100</v>
      </c>
      <c r="P174" s="66">
        <f t="shared" si="49"/>
        <v>30205</v>
      </c>
      <c r="Q174" s="21"/>
      <c r="R174" s="324">
        <f t="shared" si="38"/>
        <v>0</v>
      </c>
    </row>
    <row r="175" spans="1:18" s="320" customFormat="1" ht="23.25" customHeight="1" x14ac:dyDescent="0.2">
      <c r="A175" s="12"/>
      <c r="B175" s="13"/>
      <c r="C175" s="668" t="s">
        <v>164</v>
      </c>
      <c r="D175" s="669"/>
      <c r="E175" s="55">
        <f>F175+G175</f>
        <v>1926205</v>
      </c>
      <c r="F175" s="55">
        <f>F176</f>
        <v>0</v>
      </c>
      <c r="G175" s="8">
        <f>G176</f>
        <v>1926205</v>
      </c>
      <c r="H175" s="326"/>
      <c r="I175" s="327"/>
      <c r="J175" s="326"/>
      <c r="K175" s="8">
        <f t="shared" ref="K175:P175" si="50">K176</f>
        <v>0</v>
      </c>
      <c r="L175" s="8">
        <f t="shared" si="50"/>
        <v>0</v>
      </c>
      <c r="M175" s="55">
        <f t="shared" si="50"/>
        <v>1925000</v>
      </c>
      <c r="N175" s="55">
        <f t="shared" si="50"/>
        <v>0</v>
      </c>
      <c r="O175" s="55">
        <v>100</v>
      </c>
      <c r="P175" s="55">
        <f t="shared" si="50"/>
        <v>1205</v>
      </c>
      <c r="Q175" s="21"/>
      <c r="R175" s="324">
        <f t="shared" si="38"/>
        <v>0</v>
      </c>
    </row>
    <row r="176" spans="1:18" s="320" customFormat="1" ht="31.5" x14ac:dyDescent="0.2">
      <c r="A176" s="12"/>
      <c r="B176" s="13"/>
      <c r="C176" s="33"/>
      <c r="D176" s="293" t="s">
        <v>165</v>
      </c>
      <c r="E176" s="67">
        <f>G176</f>
        <v>1926205</v>
      </c>
      <c r="F176" s="67">
        <v>0</v>
      </c>
      <c r="G176" s="20">
        <f>2000000-73795</f>
        <v>1926205</v>
      </c>
      <c r="H176" s="336" t="s">
        <v>388</v>
      </c>
      <c r="I176" s="339"/>
      <c r="J176" s="340"/>
      <c r="K176" s="20"/>
      <c r="L176" s="20"/>
      <c r="M176" s="59">
        <f>481250+962500+481250</f>
        <v>1925000</v>
      </c>
      <c r="N176" s="59">
        <f>G176-M176-P176</f>
        <v>0</v>
      </c>
      <c r="O176" s="59">
        <v>100</v>
      </c>
      <c r="P176" s="59">
        <v>1205</v>
      </c>
      <c r="Q176" s="16" t="s">
        <v>342</v>
      </c>
      <c r="R176" s="324">
        <f t="shared" si="38"/>
        <v>0</v>
      </c>
    </row>
    <row r="177" spans="1:18" s="320" customFormat="1" ht="42" customHeight="1" x14ac:dyDescent="0.2">
      <c r="A177" s="12"/>
      <c r="B177" s="13"/>
      <c r="C177" s="668" t="s">
        <v>166</v>
      </c>
      <c r="D177" s="669"/>
      <c r="E177" s="66">
        <f>F177+G177</f>
        <v>2000000</v>
      </c>
      <c r="F177" s="66">
        <f>F178</f>
        <v>0</v>
      </c>
      <c r="G177" s="11">
        <f>G178</f>
        <v>2000000</v>
      </c>
      <c r="H177" s="334"/>
      <c r="I177" s="335"/>
      <c r="J177" s="334"/>
      <c r="K177" s="11">
        <f t="shared" ref="K177:P177" si="51">K178</f>
        <v>0</v>
      </c>
      <c r="L177" s="11">
        <f t="shared" si="51"/>
        <v>0</v>
      </c>
      <c r="M177" s="66">
        <f t="shared" si="51"/>
        <v>1971000</v>
      </c>
      <c r="N177" s="66">
        <f t="shared" si="51"/>
        <v>0</v>
      </c>
      <c r="O177" s="66">
        <v>100</v>
      </c>
      <c r="P177" s="66">
        <f t="shared" si="51"/>
        <v>29000</v>
      </c>
      <c r="Q177" s="21"/>
      <c r="R177" s="324">
        <f t="shared" si="38"/>
        <v>0</v>
      </c>
    </row>
    <row r="178" spans="1:18" s="320" customFormat="1" ht="47.25" x14ac:dyDescent="0.2">
      <c r="A178" s="12"/>
      <c r="B178" s="13"/>
      <c r="C178" s="316"/>
      <c r="D178" s="111" t="s">
        <v>464</v>
      </c>
      <c r="E178" s="67">
        <f>G178</f>
        <v>2000000</v>
      </c>
      <c r="F178" s="527">
        <v>0</v>
      </c>
      <c r="G178" s="23">
        <v>2000000</v>
      </c>
      <c r="H178" s="439" t="s">
        <v>388</v>
      </c>
      <c r="I178" s="346"/>
      <c r="J178" s="347"/>
      <c r="K178" s="23"/>
      <c r="L178" s="23"/>
      <c r="M178" s="67">
        <f>M179+M180+M181+M182+M183+M184+M185+M186+M187+M188+M189+M190+M191+M192+M193+M194+M195+M196+M197+M198+M199+M200+M201</f>
        <v>1971000</v>
      </c>
      <c r="N178" s="67">
        <f>G178-M178-P178</f>
        <v>0</v>
      </c>
      <c r="O178" s="67">
        <v>100</v>
      </c>
      <c r="P178" s="67">
        <f>P179+P180+P181+P182+P183+P184+P185+P186+P187+P188+P189+P190+P191+P192+P193+P194+P195+P196+P197+P198+P199+P200+P201</f>
        <v>29000</v>
      </c>
      <c r="Q178" s="16" t="s">
        <v>57</v>
      </c>
      <c r="R178" s="324">
        <f t="shared" si="38"/>
        <v>0</v>
      </c>
    </row>
    <row r="179" spans="1:18" s="320" customFormat="1" ht="45.75" hidden="1" customHeight="1" x14ac:dyDescent="0.2">
      <c r="A179" s="17"/>
      <c r="B179" s="18"/>
      <c r="C179" s="454"/>
      <c r="D179" s="348" t="s">
        <v>513</v>
      </c>
      <c r="E179" s="368">
        <f>F179+G179</f>
        <v>330150</v>
      </c>
      <c r="F179" s="531"/>
      <c r="G179" s="15">
        <v>330150</v>
      </c>
      <c r="H179" s="336"/>
      <c r="I179" s="337"/>
      <c r="J179" s="338"/>
      <c r="K179" s="15"/>
      <c r="L179" s="15"/>
      <c r="M179" s="58">
        <f>40000+40000+40000+40000+40000+40000+50150+40000</f>
        <v>330150</v>
      </c>
      <c r="N179" s="58">
        <f>G179-M179</f>
        <v>0</v>
      </c>
      <c r="O179" s="58"/>
      <c r="P179" s="58"/>
      <c r="Q179" s="319" t="s">
        <v>520</v>
      </c>
      <c r="R179" s="324">
        <f t="shared" si="38"/>
        <v>0</v>
      </c>
    </row>
    <row r="180" spans="1:18" s="320" customFormat="1" ht="63" hidden="1" x14ac:dyDescent="0.2">
      <c r="A180" s="17"/>
      <c r="B180" s="18"/>
      <c r="C180" s="454"/>
      <c r="D180" s="348" t="s">
        <v>514</v>
      </c>
      <c r="E180" s="368">
        <f t="shared" ref="E180:E201" si="52">F180+G180</f>
        <v>62050</v>
      </c>
      <c r="F180" s="531"/>
      <c r="G180" s="15">
        <v>62050</v>
      </c>
      <c r="H180" s="336"/>
      <c r="I180" s="337"/>
      <c r="J180" s="338"/>
      <c r="K180" s="15"/>
      <c r="L180" s="15"/>
      <c r="M180" s="58">
        <v>62050</v>
      </c>
      <c r="N180" s="58">
        <f t="shared" ref="N180:N201" si="53">G180-M180</f>
        <v>0</v>
      </c>
      <c r="O180" s="58"/>
      <c r="P180" s="58"/>
      <c r="Q180" s="319" t="s">
        <v>521</v>
      </c>
      <c r="R180" s="324">
        <f t="shared" si="38"/>
        <v>0</v>
      </c>
    </row>
    <row r="181" spans="1:18" s="320" customFormat="1" ht="47.25" hidden="1" x14ac:dyDescent="0.2">
      <c r="A181" s="17"/>
      <c r="B181" s="18"/>
      <c r="C181" s="454"/>
      <c r="D181" s="348" t="s">
        <v>515</v>
      </c>
      <c r="E181" s="368">
        <f t="shared" si="52"/>
        <v>93100</v>
      </c>
      <c r="F181" s="531"/>
      <c r="G181" s="15">
        <v>93100</v>
      </c>
      <c r="H181" s="336"/>
      <c r="I181" s="337"/>
      <c r="J181" s="338"/>
      <c r="K181" s="15"/>
      <c r="L181" s="15"/>
      <c r="M181" s="58">
        <f>93100-50150+2500+21000+26650</f>
        <v>93100</v>
      </c>
      <c r="N181" s="58">
        <f t="shared" si="53"/>
        <v>0</v>
      </c>
      <c r="O181" s="58"/>
      <c r="P181" s="58"/>
      <c r="Q181" s="319" t="s">
        <v>288</v>
      </c>
      <c r="R181" s="324">
        <f t="shared" si="38"/>
        <v>0</v>
      </c>
    </row>
    <row r="182" spans="1:18" s="320" customFormat="1" ht="47.25" hidden="1" x14ac:dyDescent="0.2">
      <c r="A182" s="17"/>
      <c r="B182" s="18"/>
      <c r="C182" s="454"/>
      <c r="D182" s="348" t="s">
        <v>516</v>
      </c>
      <c r="E182" s="368">
        <f t="shared" si="52"/>
        <v>47000</v>
      </c>
      <c r="F182" s="531"/>
      <c r="G182" s="15">
        <v>47000</v>
      </c>
      <c r="H182" s="336"/>
      <c r="I182" s="337"/>
      <c r="J182" s="338"/>
      <c r="K182" s="15"/>
      <c r="L182" s="15"/>
      <c r="M182" s="58">
        <v>46000</v>
      </c>
      <c r="N182" s="58">
        <f>G182-M182-P182</f>
        <v>0</v>
      </c>
      <c r="O182" s="58"/>
      <c r="P182" s="58">
        <v>1000</v>
      </c>
      <c r="Q182" s="319" t="s">
        <v>99</v>
      </c>
      <c r="R182" s="324">
        <f t="shared" si="38"/>
        <v>0</v>
      </c>
    </row>
    <row r="183" spans="1:18" s="320" customFormat="1" ht="47.25" hidden="1" x14ac:dyDescent="0.2">
      <c r="A183" s="17"/>
      <c r="B183" s="18"/>
      <c r="C183" s="454"/>
      <c r="D183" s="348" t="s">
        <v>517</v>
      </c>
      <c r="E183" s="368">
        <f>F183+G183</f>
        <v>54600</v>
      </c>
      <c r="F183" s="531"/>
      <c r="G183" s="15">
        <v>54600</v>
      </c>
      <c r="H183" s="336"/>
      <c r="I183" s="337"/>
      <c r="J183" s="338"/>
      <c r="K183" s="15"/>
      <c r="L183" s="15"/>
      <c r="M183" s="58">
        <v>54600</v>
      </c>
      <c r="N183" s="58">
        <f t="shared" si="53"/>
        <v>0</v>
      </c>
      <c r="O183" s="58"/>
      <c r="P183" s="58"/>
      <c r="Q183" s="319" t="s">
        <v>288</v>
      </c>
      <c r="R183" s="324">
        <f t="shared" si="38"/>
        <v>0</v>
      </c>
    </row>
    <row r="184" spans="1:18" s="320" customFormat="1" ht="63" hidden="1" x14ac:dyDescent="0.2">
      <c r="A184" s="17"/>
      <c r="B184" s="18"/>
      <c r="C184" s="454"/>
      <c r="D184" s="348" t="s">
        <v>518</v>
      </c>
      <c r="E184" s="368">
        <f t="shared" si="52"/>
        <v>25950</v>
      </c>
      <c r="F184" s="531"/>
      <c r="G184" s="15">
        <v>25950</v>
      </c>
      <c r="H184" s="336"/>
      <c r="I184" s="337"/>
      <c r="J184" s="338"/>
      <c r="K184" s="15"/>
      <c r="L184" s="15"/>
      <c r="M184" s="58">
        <f>3000+22950</f>
        <v>25950</v>
      </c>
      <c r="N184" s="58">
        <f t="shared" si="53"/>
        <v>0</v>
      </c>
      <c r="O184" s="58"/>
      <c r="P184" s="58"/>
      <c r="Q184" s="319" t="s">
        <v>522</v>
      </c>
      <c r="R184" s="324">
        <f t="shared" si="38"/>
        <v>0</v>
      </c>
    </row>
    <row r="185" spans="1:18" s="320" customFormat="1" ht="63" hidden="1" x14ac:dyDescent="0.2">
      <c r="A185" s="17"/>
      <c r="B185" s="18"/>
      <c r="C185" s="454"/>
      <c r="D185" s="348" t="s">
        <v>519</v>
      </c>
      <c r="E185" s="368">
        <f>F185+G185</f>
        <v>44320</v>
      </c>
      <c r="F185" s="531"/>
      <c r="G185" s="15">
        <v>44320</v>
      </c>
      <c r="H185" s="336"/>
      <c r="I185" s="337"/>
      <c r="J185" s="338"/>
      <c r="K185" s="15"/>
      <c r="L185" s="15"/>
      <c r="M185" s="58">
        <v>44320</v>
      </c>
      <c r="N185" s="58">
        <f t="shared" si="53"/>
        <v>0</v>
      </c>
      <c r="O185" s="58"/>
      <c r="P185" s="58"/>
      <c r="Q185" s="319" t="s">
        <v>523</v>
      </c>
      <c r="R185" s="324">
        <f t="shared" si="38"/>
        <v>0</v>
      </c>
    </row>
    <row r="186" spans="1:18" s="320" customFormat="1" ht="63" hidden="1" x14ac:dyDescent="0.2">
      <c r="A186" s="17"/>
      <c r="B186" s="18"/>
      <c r="C186" s="454"/>
      <c r="D186" s="348" t="s">
        <v>524</v>
      </c>
      <c r="E186" s="368">
        <f t="shared" si="52"/>
        <v>15320</v>
      </c>
      <c r="F186" s="531"/>
      <c r="G186" s="15">
        <v>15320</v>
      </c>
      <c r="H186" s="336"/>
      <c r="I186" s="337"/>
      <c r="J186" s="338"/>
      <c r="K186" s="15"/>
      <c r="L186" s="15"/>
      <c r="M186" s="58">
        <f>15320-5000</f>
        <v>10320</v>
      </c>
      <c r="N186" s="58">
        <f>G186-M186-P186</f>
        <v>0</v>
      </c>
      <c r="O186" s="58"/>
      <c r="P186" s="58">
        <v>5000</v>
      </c>
      <c r="Q186" s="319" t="s">
        <v>523</v>
      </c>
      <c r="R186" s="324">
        <f t="shared" si="38"/>
        <v>0</v>
      </c>
    </row>
    <row r="187" spans="1:18" s="320" customFormat="1" ht="63" hidden="1" x14ac:dyDescent="0.2">
      <c r="A187" s="17"/>
      <c r="B187" s="18"/>
      <c r="C187" s="454"/>
      <c r="D187" s="348" t="s">
        <v>525</v>
      </c>
      <c r="E187" s="368">
        <f t="shared" si="52"/>
        <v>10720</v>
      </c>
      <c r="F187" s="531"/>
      <c r="G187" s="15">
        <v>10720</v>
      </c>
      <c r="H187" s="336"/>
      <c r="I187" s="337"/>
      <c r="J187" s="338"/>
      <c r="K187" s="15"/>
      <c r="L187" s="15"/>
      <c r="M187" s="58">
        <v>10720</v>
      </c>
      <c r="N187" s="58">
        <f t="shared" si="53"/>
        <v>0</v>
      </c>
      <c r="O187" s="58"/>
      <c r="P187" s="58"/>
      <c r="Q187" s="319" t="s">
        <v>523</v>
      </c>
      <c r="R187" s="324">
        <f t="shared" si="38"/>
        <v>0</v>
      </c>
    </row>
    <row r="188" spans="1:18" s="320" customFormat="1" ht="63" hidden="1" x14ac:dyDescent="0.2">
      <c r="A188" s="17"/>
      <c r="B188" s="18"/>
      <c r="C188" s="454"/>
      <c r="D188" s="348" t="s">
        <v>526</v>
      </c>
      <c r="E188" s="368">
        <f>F188+G188</f>
        <v>154500</v>
      </c>
      <c r="F188" s="531"/>
      <c r="G188" s="15">
        <v>154500</v>
      </c>
      <c r="H188" s="336"/>
      <c r="I188" s="337"/>
      <c r="J188" s="338"/>
      <c r="K188" s="15"/>
      <c r="L188" s="15"/>
      <c r="M188" s="58">
        <f>117000+37500</f>
        <v>154500</v>
      </c>
      <c r="N188" s="58">
        <f t="shared" si="53"/>
        <v>0</v>
      </c>
      <c r="O188" s="58"/>
      <c r="P188" s="58"/>
      <c r="Q188" s="319" t="s">
        <v>523</v>
      </c>
      <c r="R188" s="324">
        <f t="shared" si="38"/>
        <v>0</v>
      </c>
    </row>
    <row r="189" spans="1:18" s="320" customFormat="1" ht="47.25" hidden="1" x14ac:dyDescent="0.2">
      <c r="A189" s="17"/>
      <c r="B189" s="18"/>
      <c r="C189" s="454"/>
      <c r="D189" s="348" t="s">
        <v>527</v>
      </c>
      <c r="E189" s="368">
        <f t="shared" si="52"/>
        <v>53000</v>
      </c>
      <c r="F189" s="531"/>
      <c r="G189" s="15">
        <v>53000</v>
      </c>
      <c r="H189" s="336"/>
      <c r="I189" s="337"/>
      <c r="J189" s="338"/>
      <c r="K189" s="15"/>
      <c r="L189" s="15"/>
      <c r="M189" s="58">
        <f>700+7200+24100+21000</f>
        <v>53000</v>
      </c>
      <c r="N189" s="58">
        <f t="shared" si="53"/>
        <v>0</v>
      </c>
      <c r="O189" s="58"/>
      <c r="P189" s="58"/>
      <c r="Q189" s="319" t="s">
        <v>534</v>
      </c>
      <c r="R189" s="324">
        <f t="shared" si="38"/>
        <v>0</v>
      </c>
    </row>
    <row r="190" spans="1:18" s="320" customFormat="1" ht="47.25" hidden="1" x14ac:dyDescent="0.2">
      <c r="A190" s="17"/>
      <c r="B190" s="18"/>
      <c r="C190" s="454"/>
      <c r="D190" s="348" t="s">
        <v>528</v>
      </c>
      <c r="E190" s="368">
        <f t="shared" si="52"/>
        <v>13000</v>
      </c>
      <c r="F190" s="531"/>
      <c r="G190" s="15">
        <v>13000</v>
      </c>
      <c r="H190" s="336"/>
      <c r="I190" s="337"/>
      <c r="J190" s="338"/>
      <c r="K190" s="15"/>
      <c r="L190" s="15"/>
      <c r="M190" s="58">
        <v>13000</v>
      </c>
      <c r="N190" s="58">
        <f t="shared" si="53"/>
        <v>0</v>
      </c>
      <c r="O190" s="58"/>
      <c r="P190" s="58"/>
      <c r="Q190" s="319" t="s">
        <v>288</v>
      </c>
      <c r="R190" s="324">
        <f t="shared" si="38"/>
        <v>0</v>
      </c>
    </row>
    <row r="191" spans="1:18" s="320" customFormat="1" ht="63" hidden="1" x14ac:dyDescent="0.2">
      <c r="A191" s="17"/>
      <c r="B191" s="18"/>
      <c r="C191" s="454"/>
      <c r="D191" s="348" t="s">
        <v>529</v>
      </c>
      <c r="E191" s="368">
        <f>F191+G191</f>
        <v>5000</v>
      </c>
      <c r="F191" s="531"/>
      <c r="G191" s="15">
        <v>5000</v>
      </c>
      <c r="H191" s="336"/>
      <c r="I191" s="337"/>
      <c r="J191" s="338"/>
      <c r="K191" s="15"/>
      <c r="L191" s="15"/>
      <c r="M191" s="58">
        <v>2000</v>
      </c>
      <c r="N191" s="58">
        <f>G191-M191-P191</f>
        <v>0</v>
      </c>
      <c r="O191" s="58"/>
      <c r="P191" s="58">
        <v>3000</v>
      </c>
      <c r="Q191" s="319" t="s">
        <v>523</v>
      </c>
      <c r="R191" s="324">
        <f t="shared" si="38"/>
        <v>0</v>
      </c>
    </row>
    <row r="192" spans="1:18" s="320" customFormat="1" ht="63" hidden="1" x14ac:dyDescent="0.2">
      <c r="A192" s="17"/>
      <c r="B192" s="18"/>
      <c r="C192" s="454"/>
      <c r="D192" s="348" t="s">
        <v>530</v>
      </c>
      <c r="E192" s="368">
        <f t="shared" si="52"/>
        <v>20000</v>
      </c>
      <c r="F192" s="531"/>
      <c r="G192" s="15">
        <v>20000</v>
      </c>
      <c r="H192" s="336"/>
      <c r="I192" s="337"/>
      <c r="J192" s="338"/>
      <c r="K192" s="15"/>
      <c r="L192" s="15"/>
      <c r="M192" s="58">
        <v>20000</v>
      </c>
      <c r="N192" s="58">
        <f t="shared" si="53"/>
        <v>0</v>
      </c>
      <c r="O192" s="58"/>
      <c r="P192" s="58"/>
      <c r="Q192" s="319" t="s">
        <v>521</v>
      </c>
      <c r="R192" s="324">
        <f t="shared" si="38"/>
        <v>0</v>
      </c>
    </row>
    <row r="193" spans="1:19" s="320" customFormat="1" ht="63" hidden="1" x14ac:dyDescent="0.2">
      <c r="A193" s="17"/>
      <c r="B193" s="18"/>
      <c r="C193" s="454"/>
      <c r="D193" s="348" t="s">
        <v>531</v>
      </c>
      <c r="E193" s="368">
        <f t="shared" si="52"/>
        <v>3000</v>
      </c>
      <c r="F193" s="531"/>
      <c r="G193" s="15">
        <v>3000</v>
      </c>
      <c r="H193" s="336"/>
      <c r="I193" s="337"/>
      <c r="J193" s="338"/>
      <c r="K193" s="15"/>
      <c r="L193" s="15"/>
      <c r="M193" s="58">
        <v>3000</v>
      </c>
      <c r="N193" s="58">
        <f t="shared" si="53"/>
        <v>0</v>
      </c>
      <c r="O193" s="58"/>
      <c r="P193" s="58"/>
      <c r="Q193" s="319" t="s">
        <v>523</v>
      </c>
      <c r="R193" s="324">
        <f t="shared" si="38"/>
        <v>0</v>
      </c>
    </row>
    <row r="194" spans="1:19" s="320" customFormat="1" ht="63" hidden="1" x14ac:dyDescent="0.2">
      <c r="A194" s="17"/>
      <c r="B194" s="18"/>
      <c r="C194" s="454"/>
      <c r="D194" s="348" t="s">
        <v>532</v>
      </c>
      <c r="E194" s="368">
        <f>F194+G194</f>
        <v>14400</v>
      </c>
      <c r="F194" s="531"/>
      <c r="G194" s="15">
        <v>14400</v>
      </c>
      <c r="H194" s="336"/>
      <c r="I194" s="337"/>
      <c r="J194" s="338"/>
      <c r="K194" s="15"/>
      <c r="L194" s="15"/>
      <c r="M194" s="58">
        <f>14000+400</f>
        <v>14400</v>
      </c>
      <c r="N194" s="58">
        <f t="shared" si="53"/>
        <v>0</v>
      </c>
      <c r="O194" s="58"/>
      <c r="P194" s="58"/>
      <c r="Q194" s="319" t="s">
        <v>523</v>
      </c>
      <c r="R194" s="324">
        <f t="shared" si="38"/>
        <v>0</v>
      </c>
    </row>
    <row r="195" spans="1:19" s="320" customFormat="1" ht="63" hidden="1" x14ac:dyDescent="0.2">
      <c r="A195" s="17"/>
      <c r="B195" s="18"/>
      <c r="C195" s="454"/>
      <c r="D195" s="348" t="s">
        <v>533</v>
      </c>
      <c r="E195" s="368">
        <f t="shared" si="52"/>
        <v>40000</v>
      </c>
      <c r="F195" s="531"/>
      <c r="G195" s="15">
        <v>40000</v>
      </c>
      <c r="H195" s="336"/>
      <c r="I195" s="337"/>
      <c r="J195" s="338"/>
      <c r="K195" s="15"/>
      <c r="L195" s="15"/>
      <c r="M195" s="58">
        <v>40000</v>
      </c>
      <c r="N195" s="58">
        <f t="shared" si="53"/>
        <v>0</v>
      </c>
      <c r="O195" s="58"/>
      <c r="P195" s="58"/>
      <c r="Q195" s="319" t="s">
        <v>523</v>
      </c>
      <c r="R195" s="324">
        <f t="shared" si="38"/>
        <v>0</v>
      </c>
    </row>
    <row r="196" spans="1:19" s="320" customFormat="1" ht="84" hidden="1" x14ac:dyDescent="0.2">
      <c r="A196" s="17"/>
      <c r="B196" s="18"/>
      <c r="C196" s="454"/>
      <c r="D196" s="348" t="s">
        <v>539</v>
      </c>
      <c r="E196" s="368">
        <f>F196+G196</f>
        <v>100000</v>
      </c>
      <c r="F196" s="531"/>
      <c r="G196" s="15">
        <v>100000</v>
      </c>
      <c r="H196" s="342"/>
      <c r="I196" s="337"/>
      <c r="J196" s="338"/>
      <c r="K196" s="15"/>
      <c r="L196" s="15"/>
      <c r="M196" s="58">
        <f>80000</f>
        <v>80000</v>
      </c>
      <c r="N196" s="58">
        <f>G196-M196-P196</f>
        <v>0</v>
      </c>
      <c r="O196" s="58"/>
      <c r="P196" s="58">
        <v>20000</v>
      </c>
      <c r="Q196" s="455" t="s">
        <v>538</v>
      </c>
      <c r="R196" s="324">
        <f t="shared" si="38"/>
        <v>0</v>
      </c>
    </row>
    <row r="197" spans="1:19" s="320" customFormat="1" ht="147" hidden="1" x14ac:dyDescent="0.2">
      <c r="A197" s="17"/>
      <c r="B197" s="18"/>
      <c r="C197" s="454"/>
      <c r="D197" s="348" t="s">
        <v>540</v>
      </c>
      <c r="E197" s="368">
        <f t="shared" si="52"/>
        <v>499400</v>
      </c>
      <c r="F197" s="531"/>
      <c r="G197" s="15">
        <v>499400</v>
      </c>
      <c r="H197" s="336"/>
      <c r="I197" s="337"/>
      <c r="J197" s="338"/>
      <c r="K197" s="15"/>
      <c r="L197" s="15"/>
      <c r="M197" s="58">
        <v>499400</v>
      </c>
      <c r="N197" s="58">
        <f t="shared" si="53"/>
        <v>0</v>
      </c>
      <c r="O197" s="58"/>
      <c r="P197" s="58"/>
      <c r="Q197" s="455" t="s">
        <v>523</v>
      </c>
      <c r="R197" s="324">
        <f t="shared" si="38"/>
        <v>0</v>
      </c>
    </row>
    <row r="198" spans="1:19" s="320" customFormat="1" ht="110.25" hidden="1" x14ac:dyDescent="0.2">
      <c r="A198" s="17"/>
      <c r="B198" s="18"/>
      <c r="C198" s="454"/>
      <c r="D198" s="348" t="s">
        <v>535</v>
      </c>
      <c r="E198" s="368">
        <f>F198+G198</f>
        <v>62590</v>
      </c>
      <c r="F198" s="531"/>
      <c r="G198" s="15">
        <v>62590</v>
      </c>
      <c r="H198" s="336"/>
      <c r="I198" s="337"/>
      <c r="J198" s="338"/>
      <c r="K198" s="15"/>
      <c r="L198" s="15"/>
      <c r="M198" s="58">
        <f>26650+30000+5940</f>
        <v>62590</v>
      </c>
      <c r="N198" s="58">
        <f t="shared" si="53"/>
        <v>0</v>
      </c>
      <c r="O198" s="58"/>
      <c r="P198" s="58"/>
      <c r="Q198" s="319" t="s">
        <v>541</v>
      </c>
      <c r="R198" s="324">
        <f t="shared" si="38"/>
        <v>0</v>
      </c>
    </row>
    <row r="199" spans="1:19" s="320" customFormat="1" ht="42" hidden="1" x14ac:dyDescent="0.2">
      <c r="A199" s="17"/>
      <c r="B199" s="18"/>
      <c r="C199" s="454"/>
      <c r="D199" s="348" t="s">
        <v>543</v>
      </c>
      <c r="E199" s="368">
        <f t="shared" si="52"/>
        <v>15000</v>
      </c>
      <c r="F199" s="531"/>
      <c r="G199" s="15">
        <v>15000</v>
      </c>
      <c r="H199" s="336"/>
      <c r="I199" s="337"/>
      <c r="J199" s="338"/>
      <c r="K199" s="15"/>
      <c r="L199" s="15"/>
      <c r="M199" s="58">
        <v>15000</v>
      </c>
      <c r="N199" s="58">
        <f t="shared" si="53"/>
        <v>0</v>
      </c>
      <c r="O199" s="58"/>
      <c r="P199" s="58"/>
      <c r="Q199" s="455" t="s">
        <v>542</v>
      </c>
      <c r="R199" s="324">
        <f t="shared" si="38"/>
        <v>0</v>
      </c>
    </row>
    <row r="200" spans="1:19" s="320" customFormat="1" ht="31.5" hidden="1" x14ac:dyDescent="0.2">
      <c r="A200" s="17"/>
      <c r="B200" s="18"/>
      <c r="C200" s="454"/>
      <c r="D200" s="348" t="s">
        <v>536</v>
      </c>
      <c r="E200" s="368">
        <f t="shared" si="52"/>
        <v>36900</v>
      </c>
      <c r="F200" s="531"/>
      <c r="G200" s="15">
        <v>36900</v>
      </c>
      <c r="H200" s="336"/>
      <c r="I200" s="337"/>
      <c r="J200" s="338"/>
      <c r="K200" s="15"/>
      <c r="L200" s="15"/>
      <c r="M200" s="58">
        <f>20600+5670+8530+2100</f>
        <v>36900</v>
      </c>
      <c r="N200" s="58">
        <f t="shared" si="53"/>
        <v>0</v>
      </c>
      <c r="O200" s="58"/>
      <c r="P200" s="58"/>
      <c r="Q200" s="319" t="s">
        <v>338</v>
      </c>
      <c r="R200" s="324">
        <f t="shared" si="38"/>
        <v>0</v>
      </c>
    </row>
    <row r="201" spans="1:19" s="320" customFormat="1" ht="63" hidden="1" x14ac:dyDescent="0.2">
      <c r="A201" s="17"/>
      <c r="B201" s="18"/>
      <c r="C201" s="454"/>
      <c r="D201" s="348" t="s">
        <v>537</v>
      </c>
      <c r="E201" s="368">
        <f t="shared" si="52"/>
        <v>300000</v>
      </c>
      <c r="F201" s="531"/>
      <c r="G201" s="15">
        <v>300000</v>
      </c>
      <c r="H201" s="336"/>
      <c r="I201" s="337"/>
      <c r="J201" s="338"/>
      <c r="K201" s="15"/>
      <c r="L201" s="15"/>
      <c r="M201" s="58">
        <v>300000</v>
      </c>
      <c r="N201" s="58">
        <f t="shared" si="53"/>
        <v>0</v>
      </c>
      <c r="O201" s="58"/>
      <c r="P201" s="58"/>
      <c r="Q201" s="319" t="s">
        <v>523</v>
      </c>
      <c r="R201" s="324">
        <f t="shared" si="38"/>
        <v>0</v>
      </c>
    </row>
    <row r="202" spans="1:19" s="320" customFormat="1" ht="47.25" customHeight="1" x14ac:dyDescent="0.2">
      <c r="A202" s="693" t="s">
        <v>82</v>
      </c>
      <c r="B202" s="670"/>
      <c r="C202" s="670"/>
      <c r="D202" s="671"/>
      <c r="E202" s="357">
        <v>8000000</v>
      </c>
      <c r="F202" s="357">
        <v>0</v>
      </c>
      <c r="G202" s="109">
        <v>8000000</v>
      </c>
      <c r="H202" s="228"/>
      <c r="I202" s="233"/>
      <c r="J202" s="228"/>
      <c r="K202" s="109"/>
      <c r="L202" s="109"/>
      <c r="M202" s="110">
        <f>' 8 ล้าน'!F78</f>
        <v>4667534.97</v>
      </c>
      <c r="N202" s="110">
        <f>G202-M202</f>
        <v>3332465.0300000003</v>
      </c>
      <c r="O202" s="110">
        <f>M202*100/G202</f>
        <v>58.344187124999998</v>
      </c>
      <c r="P202" s="110"/>
      <c r="Q202" s="26"/>
      <c r="R202" s="324">
        <f t="shared" si="38"/>
        <v>0</v>
      </c>
    </row>
    <row r="203" spans="1:19" s="320" customFormat="1" ht="27.75" customHeight="1" x14ac:dyDescent="0.2">
      <c r="A203" s="697" t="s">
        <v>350</v>
      </c>
      <c r="B203" s="698"/>
      <c r="C203" s="698"/>
      <c r="D203" s="699"/>
      <c r="E203" s="357">
        <f>F203+G203</f>
        <v>13701194.66</v>
      </c>
      <c r="F203" s="357">
        <f>F205+F210+F206+F207+F211+F218</f>
        <v>11761194.66</v>
      </c>
      <c r="G203" s="110">
        <f>G213+G215+G217+G219+G218</f>
        <v>1940000</v>
      </c>
      <c r="H203" s="228"/>
      <c r="I203" s="233"/>
      <c r="J203" s="228"/>
      <c r="K203" s="110">
        <f>K205+K210+K206+K207+K211</f>
        <v>6461000</v>
      </c>
      <c r="L203" s="110">
        <f>L205+L210+L206+L207+L211</f>
        <v>194.65999999997439</v>
      </c>
      <c r="M203" s="110">
        <f>M205+M206+M207+M210+M211+M213+M215+M217+M218+M219</f>
        <v>2361440</v>
      </c>
      <c r="N203" s="110">
        <f>N205+N206+N207+N210+N211+N213+N215+N217+N218+N219</f>
        <v>11317000</v>
      </c>
      <c r="O203" s="110">
        <f>M203*100/F203</f>
        <v>20.078232426772878</v>
      </c>
      <c r="P203" s="110">
        <f>P205+P210+P217</f>
        <v>22560</v>
      </c>
      <c r="Q203" s="26"/>
      <c r="R203" s="324">
        <f t="shared" si="38"/>
        <v>0</v>
      </c>
      <c r="S203" s="324"/>
    </row>
    <row r="204" spans="1:19" s="320" customFormat="1" ht="27.75" customHeight="1" x14ac:dyDescent="0.2">
      <c r="A204" s="107"/>
      <c r="B204" s="668" t="s">
        <v>351</v>
      </c>
      <c r="C204" s="668"/>
      <c r="D204" s="669"/>
      <c r="E204" s="357"/>
      <c r="F204" s="357"/>
      <c r="G204" s="109"/>
      <c r="H204" s="228"/>
      <c r="I204" s="233"/>
      <c r="J204" s="228"/>
      <c r="K204" s="109"/>
      <c r="L204" s="110"/>
      <c r="M204" s="110"/>
      <c r="N204" s="110"/>
      <c r="O204" s="110"/>
      <c r="P204" s="110"/>
      <c r="Q204" s="26"/>
      <c r="R204" s="324">
        <f t="shared" ref="R204:R224" si="54">E204-L204-M204-N204-P204</f>
        <v>0</v>
      </c>
    </row>
    <row r="205" spans="1:19" ht="69" customHeight="1" x14ac:dyDescent="0.2">
      <c r="A205" s="112"/>
      <c r="B205" s="37"/>
      <c r="C205" s="37"/>
      <c r="D205" s="32" t="s">
        <v>440</v>
      </c>
      <c r="E205" s="65">
        <f>F205</f>
        <v>468194.66</v>
      </c>
      <c r="F205" s="65">
        <f>468700-505.34</f>
        <v>468194.66</v>
      </c>
      <c r="G205" s="113"/>
      <c r="H205" s="257" t="s">
        <v>388</v>
      </c>
      <c r="I205" s="358" t="s">
        <v>417</v>
      </c>
      <c r="J205" s="231" t="s">
        <v>416</v>
      </c>
      <c r="K205" s="114">
        <v>468000</v>
      </c>
      <c r="L205" s="114">
        <f>F205-K205</f>
        <v>194.65999999997439</v>
      </c>
      <c r="M205" s="114">
        <v>468000</v>
      </c>
      <c r="N205" s="114">
        <f>K205-M205</f>
        <v>0</v>
      </c>
      <c r="O205" s="114">
        <f>M205*100/K205</f>
        <v>100</v>
      </c>
      <c r="P205" s="114"/>
      <c r="Q205" s="319" t="s">
        <v>25</v>
      </c>
      <c r="R205" s="324">
        <f t="shared" si="54"/>
        <v>0</v>
      </c>
    </row>
    <row r="206" spans="1:19" ht="62.25" customHeight="1" x14ac:dyDescent="0.2">
      <c r="A206" s="112"/>
      <c r="B206" s="37"/>
      <c r="C206" s="37"/>
      <c r="D206" s="32" t="s">
        <v>501</v>
      </c>
      <c r="E206" s="65">
        <f>F206</f>
        <v>890000</v>
      </c>
      <c r="F206" s="65">
        <f>1482700-592700</f>
        <v>890000</v>
      </c>
      <c r="G206" s="113"/>
      <c r="H206" s="227" t="s">
        <v>388</v>
      </c>
      <c r="I206" s="358" t="s">
        <v>558</v>
      </c>
      <c r="J206" s="227" t="s">
        <v>559</v>
      </c>
      <c r="K206" s="114">
        <v>890000</v>
      </c>
      <c r="L206" s="114">
        <f>F206-K206</f>
        <v>0</v>
      </c>
      <c r="M206" s="114">
        <v>890000</v>
      </c>
      <c r="N206" s="114">
        <f>K206-M206</f>
        <v>0</v>
      </c>
      <c r="O206" s="114">
        <f t="shared" ref="O206:O207" si="55">M206*100/K206</f>
        <v>100</v>
      </c>
      <c r="P206" s="114"/>
      <c r="Q206" s="319" t="s">
        <v>173</v>
      </c>
      <c r="R206" s="324">
        <f t="shared" si="54"/>
        <v>0</v>
      </c>
    </row>
    <row r="207" spans="1:19" ht="69.75" customHeight="1" x14ac:dyDescent="0.2">
      <c r="A207" s="112"/>
      <c r="B207" s="37"/>
      <c r="C207" s="37"/>
      <c r="D207" s="32" t="s">
        <v>462</v>
      </c>
      <c r="E207" s="65">
        <f>F207</f>
        <v>4270000</v>
      </c>
      <c r="F207" s="65">
        <f>4300000-30000</f>
        <v>4270000</v>
      </c>
      <c r="G207" s="113"/>
      <c r="H207" s="227" t="s">
        <v>362</v>
      </c>
      <c r="I207" s="358" t="s">
        <v>593</v>
      </c>
      <c r="J207" s="231" t="s">
        <v>499</v>
      </c>
      <c r="K207" s="114">
        <v>4270000</v>
      </c>
      <c r="L207" s="113">
        <f>F207-K207</f>
        <v>0</v>
      </c>
      <c r="M207" s="114">
        <v>0</v>
      </c>
      <c r="N207" s="114">
        <f>K207</f>
        <v>4270000</v>
      </c>
      <c r="O207" s="114">
        <f t="shared" si="55"/>
        <v>0</v>
      </c>
      <c r="P207" s="114"/>
      <c r="Q207" s="319" t="s">
        <v>28</v>
      </c>
      <c r="R207" s="324">
        <f t="shared" si="54"/>
        <v>0</v>
      </c>
    </row>
    <row r="208" spans="1:19" s="320" customFormat="1" ht="48" customHeight="1" x14ac:dyDescent="0.2">
      <c r="A208" s="107"/>
      <c r="B208" s="668" t="s">
        <v>354</v>
      </c>
      <c r="C208" s="668"/>
      <c r="D208" s="669"/>
      <c r="E208" s="357"/>
      <c r="F208" s="357"/>
      <c r="G208" s="109"/>
      <c r="H208" s="228"/>
      <c r="I208" s="233"/>
      <c r="J208" s="228"/>
      <c r="K208" s="109"/>
      <c r="L208" s="109"/>
      <c r="M208" s="110"/>
      <c r="N208" s="110"/>
      <c r="O208" s="110"/>
      <c r="P208" s="110"/>
      <c r="Q208" s="26"/>
      <c r="R208" s="324">
        <f t="shared" si="54"/>
        <v>0</v>
      </c>
    </row>
    <row r="209" spans="1:19" s="320" customFormat="1" ht="70.5" customHeight="1" x14ac:dyDescent="0.2">
      <c r="A209" s="107"/>
      <c r="B209" s="37"/>
      <c r="C209" s="37"/>
      <c r="D209" s="32" t="s">
        <v>387</v>
      </c>
      <c r="E209" s="357"/>
      <c r="F209" s="357"/>
      <c r="G209" s="109"/>
      <c r="H209" s="228"/>
      <c r="I209" s="233"/>
      <c r="J209" s="228"/>
      <c r="K209" s="109"/>
      <c r="L209" s="109"/>
      <c r="M209" s="110"/>
      <c r="N209" s="110"/>
      <c r="O209" s="110"/>
      <c r="P209" s="110"/>
      <c r="Q209" s="26"/>
      <c r="R209" s="324">
        <f t="shared" si="54"/>
        <v>0</v>
      </c>
    </row>
    <row r="210" spans="1:19" ht="75" x14ac:dyDescent="0.2">
      <c r="A210" s="112"/>
      <c r="B210" s="111"/>
      <c r="C210" s="111"/>
      <c r="D210" s="293" t="s">
        <v>355</v>
      </c>
      <c r="E210" s="65">
        <f>F210</f>
        <v>486000</v>
      </c>
      <c r="F210" s="65">
        <v>486000</v>
      </c>
      <c r="G210" s="113"/>
      <c r="H210" s="230" t="s">
        <v>388</v>
      </c>
      <c r="I210" s="358" t="s">
        <v>411</v>
      </c>
      <c r="J210" s="231" t="s">
        <v>377</v>
      </c>
      <c r="K210" s="114">
        <v>486000</v>
      </c>
      <c r="L210" s="113">
        <f>F210-K210</f>
        <v>0</v>
      </c>
      <c r="M210" s="114">
        <v>486000</v>
      </c>
      <c r="N210" s="114">
        <f>K210-M210</f>
        <v>0</v>
      </c>
      <c r="O210" s="114">
        <f>M210*100/K210</f>
        <v>100</v>
      </c>
      <c r="P210" s="115"/>
      <c r="Q210" s="658" t="s">
        <v>356</v>
      </c>
      <c r="R210" s="324">
        <f t="shared" si="54"/>
        <v>0</v>
      </c>
    </row>
    <row r="211" spans="1:19" ht="56.25" x14ac:dyDescent="0.2">
      <c r="A211" s="317"/>
      <c r="B211" s="316"/>
      <c r="C211" s="316"/>
      <c r="D211" s="293" t="s">
        <v>560</v>
      </c>
      <c r="E211" s="65">
        <f>F211+G211</f>
        <v>347000</v>
      </c>
      <c r="F211" s="65">
        <v>347000</v>
      </c>
      <c r="G211" s="113"/>
      <c r="H211" s="576" t="s">
        <v>362</v>
      </c>
      <c r="I211" s="358" t="s">
        <v>611</v>
      </c>
      <c r="J211" s="231" t="s">
        <v>612</v>
      </c>
      <c r="K211" s="114">
        <v>347000</v>
      </c>
      <c r="L211" s="113">
        <f>F211-K211</f>
        <v>0</v>
      </c>
      <c r="M211" s="114"/>
      <c r="N211" s="114">
        <f>K211</f>
        <v>347000</v>
      </c>
      <c r="O211" s="114">
        <f>M211*100/K211</f>
        <v>0</v>
      </c>
      <c r="P211" s="115"/>
      <c r="Q211" s="662"/>
      <c r="R211" s="324">
        <f t="shared" si="54"/>
        <v>0</v>
      </c>
    </row>
    <row r="212" spans="1:19" x14ac:dyDescent="0.2">
      <c r="A212" s="685" t="s">
        <v>561</v>
      </c>
      <c r="B212" s="668"/>
      <c r="C212" s="668"/>
      <c r="D212" s="669"/>
      <c r="E212" s="65"/>
      <c r="F212" s="65"/>
      <c r="G212" s="113"/>
      <c r="H212" s="230"/>
      <c r="I212" s="358"/>
      <c r="J212" s="231"/>
      <c r="K212" s="113"/>
      <c r="L212" s="113"/>
      <c r="M212" s="114"/>
      <c r="N212" s="114"/>
      <c r="O212" s="114"/>
      <c r="P212" s="115"/>
      <c r="Q212" s="319"/>
      <c r="R212" s="324">
        <f t="shared" si="54"/>
        <v>0</v>
      </c>
    </row>
    <row r="213" spans="1:19" ht="42" x14ac:dyDescent="0.2">
      <c r="A213" s="317"/>
      <c r="B213" s="316"/>
      <c r="C213" s="316"/>
      <c r="D213" s="293" t="s">
        <v>566</v>
      </c>
      <c r="E213" s="65">
        <f>F213+G213</f>
        <v>440000</v>
      </c>
      <c r="F213" s="65"/>
      <c r="G213" s="113">
        <v>440000</v>
      </c>
      <c r="H213" s="230" t="s">
        <v>349</v>
      </c>
      <c r="I213" s="358"/>
      <c r="J213" s="231"/>
      <c r="K213" s="113"/>
      <c r="L213" s="113"/>
      <c r="M213" s="114"/>
      <c r="N213" s="114">
        <v>440000</v>
      </c>
      <c r="O213" s="114"/>
      <c r="P213" s="115"/>
      <c r="Q213" s="319" t="s">
        <v>567</v>
      </c>
      <c r="R213" s="324">
        <f t="shared" si="54"/>
        <v>0</v>
      </c>
    </row>
    <row r="214" spans="1:19" ht="46.5" customHeight="1" x14ac:dyDescent="0.2">
      <c r="A214" s="685" t="s">
        <v>562</v>
      </c>
      <c r="B214" s="668"/>
      <c r="C214" s="668"/>
      <c r="D214" s="669"/>
      <c r="E214" s="65"/>
      <c r="F214" s="65"/>
      <c r="G214" s="113"/>
      <c r="H214" s="230"/>
      <c r="I214" s="358"/>
      <c r="J214" s="231"/>
      <c r="K214" s="113"/>
      <c r="L214" s="113"/>
      <c r="M214" s="114"/>
      <c r="N214" s="114"/>
      <c r="O214" s="114"/>
      <c r="P214" s="115"/>
      <c r="Q214" s="319"/>
      <c r="R214" s="324">
        <f t="shared" si="54"/>
        <v>0</v>
      </c>
    </row>
    <row r="215" spans="1:19" ht="47.25" x14ac:dyDescent="0.2">
      <c r="A215" s="317"/>
      <c r="B215" s="316"/>
      <c r="C215" s="316"/>
      <c r="D215" s="293" t="s">
        <v>563</v>
      </c>
      <c r="E215" s="65">
        <f>F215+G215</f>
        <v>480000</v>
      </c>
      <c r="F215" s="65"/>
      <c r="G215" s="113">
        <v>480000</v>
      </c>
      <c r="H215" s="230" t="s">
        <v>349</v>
      </c>
      <c r="I215" s="358"/>
      <c r="J215" s="231"/>
      <c r="K215" s="113"/>
      <c r="L215" s="113"/>
      <c r="M215" s="114"/>
      <c r="N215" s="114">
        <v>480000</v>
      </c>
      <c r="O215" s="114"/>
      <c r="P215" s="115"/>
      <c r="Q215" s="319" t="s">
        <v>568</v>
      </c>
      <c r="R215" s="324">
        <f t="shared" si="54"/>
        <v>0</v>
      </c>
      <c r="S215" s="34"/>
    </row>
    <row r="216" spans="1:19" x14ac:dyDescent="0.2">
      <c r="A216" s="685" t="s">
        <v>564</v>
      </c>
      <c r="B216" s="668"/>
      <c r="C216" s="668"/>
      <c r="D216" s="669"/>
      <c r="E216" s="65"/>
      <c r="F216" s="65"/>
      <c r="G216" s="113"/>
      <c r="H216" s="230"/>
      <c r="I216" s="358"/>
      <c r="J216" s="231"/>
      <c r="K216" s="113"/>
      <c r="L216" s="113"/>
      <c r="M216" s="114"/>
      <c r="N216" s="114"/>
      <c r="O216" s="114"/>
      <c r="P216" s="115"/>
      <c r="Q216" s="319"/>
      <c r="R216" s="324">
        <f t="shared" si="54"/>
        <v>0</v>
      </c>
    </row>
    <row r="217" spans="1:19" x14ac:dyDescent="0.2">
      <c r="A217" s="317"/>
      <c r="B217" s="316"/>
      <c r="C217" s="316"/>
      <c r="D217" s="293" t="s">
        <v>565</v>
      </c>
      <c r="E217" s="65">
        <f>F217+G217</f>
        <v>540000</v>
      </c>
      <c r="F217" s="65"/>
      <c r="G217" s="113">
        <v>540000</v>
      </c>
      <c r="H217" s="230" t="s">
        <v>388</v>
      </c>
      <c r="I217" s="358"/>
      <c r="J217" s="231"/>
      <c r="K217" s="113"/>
      <c r="L217" s="113"/>
      <c r="M217" s="114">
        <f>236950+33050+236950+33050-22560</f>
        <v>517440</v>
      </c>
      <c r="N217" s="114">
        <f>G217-M217-P217</f>
        <v>0</v>
      </c>
      <c r="O217" s="114">
        <v>100</v>
      </c>
      <c r="P217" s="115">
        <v>22560</v>
      </c>
      <c r="Q217" s="319" t="s">
        <v>569</v>
      </c>
      <c r="R217" s="324">
        <f t="shared" si="54"/>
        <v>0</v>
      </c>
    </row>
    <row r="218" spans="1:19" ht="47.25" x14ac:dyDescent="0.2">
      <c r="A218" s="599"/>
      <c r="B218" s="600"/>
      <c r="C218" s="600"/>
      <c r="D218" s="293" t="s">
        <v>629</v>
      </c>
      <c r="E218" s="65">
        <f>F218</f>
        <v>5300000</v>
      </c>
      <c r="F218" s="65">
        <v>5300000</v>
      </c>
      <c r="G218" s="113"/>
      <c r="H218" s="230"/>
      <c r="I218" s="358"/>
      <c r="J218" s="231"/>
      <c r="K218" s="113"/>
      <c r="L218" s="113"/>
      <c r="M218" s="114"/>
      <c r="N218" s="114">
        <f>F218</f>
        <v>5300000</v>
      </c>
      <c r="O218" s="114"/>
      <c r="P218" s="115"/>
      <c r="Q218" s="597" t="s">
        <v>29</v>
      </c>
      <c r="R218" s="324">
        <f t="shared" si="54"/>
        <v>0</v>
      </c>
    </row>
    <row r="219" spans="1:19" ht="63" x14ac:dyDescent="0.2">
      <c r="A219" s="599"/>
      <c r="B219" s="600"/>
      <c r="C219" s="600"/>
      <c r="D219" s="293" t="s">
        <v>630</v>
      </c>
      <c r="E219" s="65">
        <f>G219</f>
        <v>480000</v>
      </c>
      <c r="F219" s="65"/>
      <c r="G219" s="113">
        <v>480000</v>
      </c>
      <c r="H219" s="230"/>
      <c r="I219" s="358"/>
      <c r="J219" s="231"/>
      <c r="K219" s="113"/>
      <c r="L219" s="113"/>
      <c r="M219" s="114"/>
      <c r="N219" s="114">
        <f>G219</f>
        <v>480000</v>
      </c>
      <c r="O219" s="114"/>
      <c r="P219" s="115"/>
      <c r="Q219" s="597" t="s">
        <v>618</v>
      </c>
      <c r="R219" s="324">
        <f t="shared" si="54"/>
        <v>0</v>
      </c>
    </row>
    <row r="220" spans="1:19" ht="21" customHeight="1" x14ac:dyDescent="0.2">
      <c r="A220" s="685" t="s">
        <v>486</v>
      </c>
      <c r="B220" s="668"/>
      <c r="C220" s="668"/>
      <c r="D220" s="669"/>
      <c r="E220" s="65">
        <f>E221+E222+E223</f>
        <v>6659372</v>
      </c>
      <c r="F220" s="65">
        <f>F221+F222+F223</f>
        <v>6659372</v>
      </c>
      <c r="G220" s="113"/>
      <c r="H220" s="230"/>
      <c r="I220" s="358"/>
      <c r="J220" s="231"/>
      <c r="K220" s="113"/>
      <c r="L220" s="114">
        <f>L221+L222+L223</f>
        <v>7838</v>
      </c>
      <c r="M220" s="114">
        <f>M221+M222+M223</f>
        <v>0</v>
      </c>
      <c r="N220" s="114">
        <f>N221+N222+N223</f>
        <v>6651534</v>
      </c>
      <c r="O220" s="114"/>
      <c r="P220" s="115"/>
      <c r="Q220" s="319"/>
      <c r="R220" s="324">
        <f t="shared" si="54"/>
        <v>0</v>
      </c>
    </row>
    <row r="221" spans="1:19" ht="63" customHeight="1" x14ac:dyDescent="0.2">
      <c r="A221" s="317"/>
      <c r="B221" s="316"/>
      <c r="C221" s="316"/>
      <c r="D221" s="293" t="s">
        <v>487</v>
      </c>
      <c r="E221" s="65">
        <f>F221</f>
        <v>5023200</v>
      </c>
      <c r="F221" s="65">
        <f>5023200</f>
        <v>5023200</v>
      </c>
      <c r="G221" s="113"/>
      <c r="H221" s="230" t="s">
        <v>614</v>
      </c>
      <c r="I221" s="358"/>
      <c r="J221" s="231"/>
      <c r="K221" s="113"/>
      <c r="L221" s="113"/>
      <c r="M221" s="114"/>
      <c r="N221" s="114">
        <f>F221</f>
        <v>5023200</v>
      </c>
      <c r="O221" s="114"/>
      <c r="P221" s="115"/>
      <c r="Q221" s="319" t="s">
        <v>488</v>
      </c>
      <c r="R221" s="324">
        <f t="shared" si="54"/>
        <v>0</v>
      </c>
    </row>
    <row r="222" spans="1:19" ht="51.75" x14ac:dyDescent="0.2">
      <c r="A222" s="317"/>
      <c r="B222" s="316"/>
      <c r="C222" s="316"/>
      <c r="D222" s="293" t="s">
        <v>489</v>
      </c>
      <c r="E222" s="65">
        <f>F222</f>
        <v>494000</v>
      </c>
      <c r="F222" s="65">
        <v>494000</v>
      </c>
      <c r="G222" s="113"/>
      <c r="H222" s="230" t="s">
        <v>362</v>
      </c>
      <c r="I222" s="358" t="s">
        <v>595</v>
      </c>
      <c r="J222" s="231" t="s">
        <v>596</v>
      </c>
      <c r="K222" s="113">
        <v>490000</v>
      </c>
      <c r="L222" s="114">
        <f>F222-K222</f>
        <v>4000</v>
      </c>
      <c r="M222" s="114"/>
      <c r="N222" s="114">
        <f>K222</f>
        <v>490000</v>
      </c>
      <c r="O222" s="114"/>
      <c r="P222" s="115"/>
      <c r="Q222" s="506" t="s">
        <v>24</v>
      </c>
      <c r="R222" s="324">
        <f t="shared" si="54"/>
        <v>0</v>
      </c>
    </row>
    <row r="223" spans="1:19" ht="63" customHeight="1" x14ac:dyDescent="0.2">
      <c r="A223" s="317"/>
      <c r="B223" s="316"/>
      <c r="C223" s="316"/>
      <c r="D223" s="293" t="s">
        <v>490</v>
      </c>
      <c r="E223" s="65">
        <f>F223</f>
        <v>1142172</v>
      </c>
      <c r="F223" s="65">
        <f>1600000-457828</f>
        <v>1142172</v>
      </c>
      <c r="G223" s="113"/>
      <c r="H223" s="230" t="s">
        <v>362</v>
      </c>
      <c r="I223" s="358" t="s">
        <v>593</v>
      </c>
      <c r="J223" s="231" t="s">
        <v>594</v>
      </c>
      <c r="K223" s="113">
        <v>1138334</v>
      </c>
      <c r="L223" s="114">
        <f>F223-K223</f>
        <v>3838</v>
      </c>
      <c r="M223" s="114"/>
      <c r="N223" s="114">
        <f>K223</f>
        <v>1138334</v>
      </c>
      <c r="O223" s="114"/>
      <c r="P223" s="115"/>
      <c r="Q223" s="319" t="s">
        <v>26</v>
      </c>
      <c r="R223" s="324">
        <f t="shared" si="54"/>
        <v>0</v>
      </c>
    </row>
    <row r="224" spans="1:19" s="320" customFormat="1" x14ac:dyDescent="0.2">
      <c r="A224" s="692" t="s">
        <v>83</v>
      </c>
      <c r="B224" s="692"/>
      <c r="C224" s="692"/>
      <c r="D224" s="692"/>
      <c r="E224" s="66">
        <f>E202+E139+E113+E8+E203+E220</f>
        <v>185832900</v>
      </c>
      <c r="F224" s="66">
        <f t="shared" ref="F224:N224" si="56">F202+F139+F113+F8+F203+F220</f>
        <v>110869600</v>
      </c>
      <c r="G224" s="11">
        <f t="shared" si="56"/>
        <v>74963300</v>
      </c>
      <c r="H224" s="11"/>
      <c r="I224" s="11"/>
      <c r="J224" s="11"/>
      <c r="K224" s="66">
        <f>K202+K139+K113+K8+K203+K220</f>
        <v>102825774.91000001</v>
      </c>
      <c r="L224" s="66">
        <f t="shared" si="56"/>
        <v>180863.09000000014</v>
      </c>
      <c r="M224" s="66">
        <f t="shared" si="56"/>
        <v>130315099.95999999</v>
      </c>
      <c r="N224" s="66">
        <f t="shared" si="56"/>
        <v>54469995.799999997</v>
      </c>
      <c r="O224" s="54">
        <f>M224*100/R3</f>
        <v>71.963518904718939</v>
      </c>
      <c r="P224" s="54">
        <f>P7</f>
        <v>866941.15</v>
      </c>
      <c r="Q224" s="21"/>
      <c r="R224" s="324">
        <f t="shared" si="54"/>
        <v>5.9371814131736755E-9</v>
      </c>
    </row>
    <row r="227" spans="5:14" x14ac:dyDescent="0.2">
      <c r="L227" s="458"/>
    </row>
    <row r="228" spans="5:14" x14ac:dyDescent="0.2">
      <c r="M228" s="458"/>
    </row>
    <row r="229" spans="5:14" x14ac:dyDescent="0.2">
      <c r="N229" s="458"/>
    </row>
    <row r="232" spans="5:14" x14ac:dyDescent="0.2">
      <c r="E232" s="459"/>
    </row>
    <row r="233" spans="5:14" x14ac:dyDescent="0.2">
      <c r="E233" s="459"/>
    </row>
    <row r="243" spans="5:17" x14ac:dyDescent="0.2">
      <c r="E243" s="459"/>
      <c r="F243" s="459"/>
      <c r="G243" s="459"/>
      <c r="H243" s="459"/>
      <c r="I243" s="459"/>
      <c r="J243" s="459"/>
      <c r="K243" s="459"/>
      <c r="L243" s="459"/>
      <c r="M243" s="459"/>
      <c r="N243" s="459"/>
      <c r="O243" s="459"/>
      <c r="P243" s="459"/>
      <c r="Q243" s="459"/>
    </row>
    <row r="246" spans="5:17" x14ac:dyDescent="0.2">
      <c r="N246" s="458"/>
    </row>
  </sheetData>
  <mergeCells count="71">
    <mergeCell ref="A220:D220"/>
    <mergeCell ref="C42:D42"/>
    <mergeCell ref="A203:D203"/>
    <mergeCell ref="B204:D204"/>
    <mergeCell ref="B208:D208"/>
    <mergeCell ref="C137:D137"/>
    <mergeCell ref="C130:D130"/>
    <mergeCell ref="B123:D123"/>
    <mergeCell ref="C124:D124"/>
    <mergeCell ref="C120:D120"/>
    <mergeCell ref="C111:D111"/>
    <mergeCell ref="A113:D113"/>
    <mergeCell ref="B114:D114"/>
    <mergeCell ref="C115:D115"/>
    <mergeCell ref="A214:D214"/>
    <mergeCell ref="A216:D216"/>
    <mergeCell ref="A3:Q3"/>
    <mergeCell ref="P5:P6"/>
    <mergeCell ref="B103:D103"/>
    <mergeCell ref="C104:D104"/>
    <mergeCell ref="C106:D106"/>
    <mergeCell ref="C77:D77"/>
    <mergeCell ref="C82:D82"/>
    <mergeCell ref="C90:D90"/>
    <mergeCell ref="B96:D96"/>
    <mergeCell ref="C97:D97"/>
    <mergeCell ref="B71:D71"/>
    <mergeCell ref="C72:D72"/>
    <mergeCell ref="B76:D76"/>
    <mergeCell ref="C68:D68"/>
    <mergeCell ref="B41:D41"/>
    <mergeCell ref="E5:G5"/>
    <mergeCell ref="H5:L5"/>
    <mergeCell ref="A224:D224"/>
    <mergeCell ref="C149:D149"/>
    <mergeCell ref="C151:D151"/>
    <mergeCell ref="B153:D153"/>
    <mergeCell ref="C154:D154"/>
    <mergeCell ref="B174:D174"/>
    <mergeCell ref="C175:D175"/>
    <mergeCell ref="C177:D177"/>
    <mergeCell ref="A202:D202"/>
    <mergeCell ref="B140:D140"/>
    <mergeCell ref="C141:D141"/>
    <mergeCell ref="C143:D143"/>
    <mergeCell ref="B148:D148"/>
    <mergeCell ref="B136:D136"/>
    <mergeCell ref="A212:D212"/>
    <mergeCell ref="M5:O5"/>
    <mergeCell ref="N4:Q4"/>
    <mergeCell ref="B44:D44"/>
    <mergeCell ref="C45:D45"/>
    <mergeCell ref="A1:Q1"/>
    <mergeCell ref="A2:Q2"/>
    <mergeCell ref="C35:D35"/>
    <mergeCell ref="C37:D37"/>
    <mergeCell ref="C39:D39"/>
    <mergeCell ref="C13:D13"/>
    <mergeCell ref="Q5:Q6"/>
    <mergeCell ref="A7:D7"/>
    <mergeCell ref="A8:D8"/>
    <mergeCell ref="B9:D9"/>
    <mergeCell ref="A10:D10"/>
    <mergeCell ref="A5:D6"/>
    <mergeCell ref="Q210:Q211"/>
    <mergeCell ref="H63:H64"/>
    <mergeCell ref="I63:I64"/>
    <mergeCell ref="A139:D139"/>
    <mergeCell ref="B117:D117"/>
    <mergeCell ref="C118:D118"/>
    <mergeCell ref="B129:D129"/>
  </mergeCells>
  <pageMargins left="0.19685039370078741" right="0.15748031496062992" top="0.19685039370078741" bottom="0.23622047244094491" header="7.874015748031496E-2" footer="0.11811023622047245"/>
  <pageSetup paperSize="9" scale="65" orientation="landscape" verticalDpi="0" r:id="rId1"/>
  <headerFooter>
    <oddHeader>&amp;R&amp;"TH SarabunPSK,ธรรมดา"&amp;10&amp;A</oddHeader>
    <oddFooter>&amp;C&amp;"TH SarabunPSK,ธรรมดา"หน้าที่ &amp;P&amp;R&amp;"TH SarabunPSK,ธรรมดา"&amp;Z&amp;F</oddFooter>
  </headerFooter>
  <ignoredErrors>
    <ignoredError sqref="Q106 Q109 Q111" formula="1"/>
    <ignoredError sqref="F13 F15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9"/>
  <sheetViews>
    <sheetView topLeftCell="A46" workbookViewId="0">
      <selection activeCell="I50" sqref="I50"/>
    </sheetView>
  </sheetViews>
  <sheetFormatPr defaultRowHeight="21" x14ac:dyDescent="0.2"/>
  <cols>
    <col min="1" max="1" width="1.25" style="3" customWidth="1"/>
    <col min="2" max="2" width="1.125" style="3" customWidth="1"/>
    <col min="3" max="3" width="1.625" style="3" customWidth="1"/>
    <col min="4" max="4" width="52.625" style="3" customWidth="1"/>
    <col min="5" max="5" width="11" style="3" customWidth="1"/>
    <col min="6" max="6" width="13" style="34" customWidth="1"/>
    <col min="7" max="7" width="12.625" style="34" customWidth="1"/>
    <col min="8" max="8" width="9.625" style="34" customWidth="1"/>
    <col min="9" max="9" width="7.875" style="34" customWidth="1"/>
    <col min="10" max="10" width="12.125" style="34" customWidth="1"/>
    <col min="11" max="25" width="8.875" style="34" customWidth="1"/>
    <col min="26" max="26" width="12.75" style="35" customWidth="1"/>
    <col min="27" max="16384" width="9" style="3"/>
  </cols>
  <sheetData>
    <row r="1" spans="1:26" x14ac:dyDescent="0.2">
      <c r="A1" s="673" t="s">
        <v>200</v>
      </c>
      <c r="B1" s="673"/>
      <c r="C1" s="673"/>
      <c r="D1" s="673"/>
      <c r="E1" s="673"/>
      <c r="F1" s="673"/>
      <c r="G1" s="673"/>
      <c r="H1" s="673"/>
      <c r="I1" s="673"/>
      <c r="J1" s="67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673" t="s">
        <v>201</v>
      </c>
      <c r="B2" s="673"/>
      <c r="C2" s="673"/>
      <c r="D2" s="673"/>
      <c r="E2" s="673"/>
      <c r="F2" s="673"/>
      <c r="G2" s="673"/>
      <c r="H2" s="673"/>
      <c r="I2" s="673"/>
      <c r="J2" s="67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4"/>
      <c r="B3" s="4"/>
      <c r="C3" s="4"/>
      <c r="D3" s="4"/>
      <c r="E3" s="4"/>
      <c r="F3" s="68"/>
      <c r="G3" s="702" t="s">
        <v>637</v>
      </c>
      <c r="H3" s="702"/>
      <c r="I3" s="702"/>
      <c r="J3" s="702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s="5" customFormat="1" ht="17.25" customHeight="1" x14ac:dyDescent="0.2">
      <c r="A4" s="686" t="s">
        <v>0</v>
      </c>
      <c r="B4" s="687"/>
      <c r="C4" s="687"/>
      <c r="D4" s="688"/>
      <c r="E4" s="694" t="s">
        <v>1</v>
      </c>
      <c r="F4" s="631" t="s">
        <v>184</v>
      </c>
      <c r="G4" s="631"/>
      <c r="H4" s="631"/>
      <c r="I4" s="631"/>
      <c r="J4" s="678" t="s">
        <v>2</v>
      </c>
    </row>
    <row r="5" spans="1:26" s="5" customFormat="1" ht="56.25" customHeight="1" x14ac:dyDescent="0.2">
      <c r="A5" s="689"/>
      <c r="B5" s="690"/>
      <c r="C5" s="690"/>
      <c r="D5" s="691"/>
      <c r="E5" s="705"/>
      <c r="F5" s="6" t="s">
        <v>185</v>
      </c>
      <c r="G5" s="6" t="s">
        <v>186</v>
      </c>
      <c r="H5" s="6" t="s">
        <v>282</v>
      </c>
      <c r="I5" s="6" t="s">
        <v>187</v>
      </c>
      <c r="J5" s="679"/>
    </row>
    <row r="6" spans="1:26" s="277" customFormat="1" ht="64.5" customHeight="1" x14ac:dyDescent="0.2">
      <c r="A6" s="708" t="s">
        <v>202</v>
      </c>
      <c r="B6" s="708"/>
      <c r="C6" s="708"/>
      <c r="D6" s="708"/>
      <c r="E6" s="7">
        <f>E7</f>
        <v>300000</v>
      </c>
      <c r="F6" s="54">
        <f>F7</f>
        <v>79150</v>
      </c>
      <c r="G6" s="54">
        <f>G7</f>
        <v>220850</v>
      </c>
      <c r="H6" s="54"/>
      <c r="I6" s="54">
        <f t="shared" ref="I6:I78" si="0">F6*100/E6</f>
        <v>26.383333333333333</v>
      </c>
      <c r="J6" s="53" t="s">
        <v>240</v>
      </c>
    </row>
    <row r="7" spans="1:26" s="277" customFormat="1" ht="42" customHeight="1" x14ac:dyDescent="0.2">
      <c r="A7" s="36"/>
      <c r="B7" s="668" t="s">
        <v>203</v>
      </c>
      <c r="C7" s="668"/>
      <c r="D7" s="669"/>
      <c r="E7" s="8">
        <f>E8+E9+E10+E11+E12</f>
        <v>300000</v>
      </c>
      <c r="F7" s="55">
        <f>F8+F9+F10+F11+F12</f>
        <v>79150</v>
      </c>
      <c r="G7" s="55">
        <f>G8+G9+G10+G11+G12</f>
        <v>220850</v>
      </c>
      <c r="H7" s="55"/>
      <c r="I7" s="54">
        <f t="shared" si="0"/>
        <v>26.383333333333333</v>
      </c>
      <c r="J7" s="8"/>
    </row>
    <row r="8" spans="1:26" s="277" customFormat="1" ht="42" x14ac:dyDescent="0.2">
      <c r="A8" s="31"/>
      <c r="B8" s="37"/>
      <c r="C8" s="37"/>
      <c r="D8" s="32" t="s">
        <v>600</v>
      </c>
      <c r="E8" s="38">
        <v>80000</v>
      </c>
      <c r="F8" s="286">
        <f>31500</f>
        <v>31500</v>
      </c>
      <c r="G8" s="56">
        <f>E8-F8</f>
        <v>48500</v>
      </c>
      <c r="H8" s="56"/>
      <c r="I8" s="56">
        <f t="shared" si="0"/>
        <v>39.375</v>
      </c>
      <c r="J8" s="10"/>
    </row>
    <row r="9" spans="1:26" s="277" customFormat="1" ht="42" x14ac:dyDescent="0.35">
      <c r="A9" s="36"/>
      <c r="B9" s="33"/>
      <c r="C9" s="33"/>
      <c r="D9" s="279" t="s">
        <v>601</v>
      </c>
      <c r="E9" s="48">
        <v>80000</v>
      </c>
      <c r="F9" s="287">
        <f>7400</f>
        <v>7400</v>
      </c>
      <c r="G9" s="56">
        <f>E9-F9</f>
        <v>72600</v>
      </c>
      <c r="H9" s="56"/>
      <c r="I9" s="56">
        <f t="shared" si="0"/>
        <v>9.25</v>
      </c>
      <c r="J9" s="10"/>
    </row>
    <row r="10" spans="1:26" s="277" customFormat="1" x14ac:dyDescent="0.35">
      <c r="A10" s="12"/>
      <c r="B10" s="13"/>
      <c r="C10" s="274"/>
      <c r="D10" s="278" t="s">
        <v>204</v>
      </c>
      <c r="E10" s="14">
        <v>80000</v>
      </c>
      <c r="F10" s="58">
        <f>1000+350+2100+3500+700+1750</f>
        <v>9400</v>
      </c>
      <c r="G10" s="56">
        <f>E10-F10</f>
        <v>70600</v>
      </c>
      <c r="H10" s="56"/>
      <c r="I10" s="56">
        <f t="shared" si="0"/>
        <v>11.75</v>
      </c>
      <c r="J10" s="16"/>
    </row>
    <row r="11" spans="1:26" s="277" customFormat="1" ht="42" x14ac:dyDescent="0.35">
      <c r="A11" s="17"/>
      <c r="B11" s="18"/>
      <c r="C11" s="18"/>
      <c r="D11" s="279" t="s">
        <v>205</v>
      </c>
      <c r="E11" s="14">
        <v>30000</v>
      </c>
      <c r="F11" s="582">
        <f>770+875+875+1050+4725+1400+1225+420+3500+4900+4100+1400+1400</f>
        <v>26640</v>
      </c>
      <c r="G11" s="56">
        <f>E11-F11</f>
        <v>3360</v>
      </c>
      <c r="H11" s="56"/>
      <c r="I11" s="56">
        <f t="shared" si="0"/>
        <v>88.8</v>
      </c>
      <c r="J11" s="16"/>
    </row>
    <row r="12" spans="1:26" s="277" customFormat="1" x14ac:dyDescent="0.35">
      <c r="A12" s="12"/>
      <c r="B12" s="13"/>
      <c r="C12" s="39"/>
      <c r="D12" s="280" t="s">
        <v>206</v>
      </c>
      <c r="E12" s="48">
        <v>30000</v>
      </c>
      <c r="F12" s="57">
        <f>1710+1440+1060</f>
        <v>4210</v>
      </c>
      <c r="G12" s="56">
        <f>E12-F12</f>
        <v>25790</v>
      </c>
      <c r="H12" s="56"/>
      <c r="I12" s="56">
        <f t="shared" si="0"/>
        <v>14.033333333333333</v>
      </c>
      <c r="J12" s="21"/>
    </row>
    <row r="13" spans="1:26" s="277" customFormat="1" x14ac:dyDescent="0.2">
      <c r="A13" s="685" t="s">
        <v>241</v>
      </c>
      <c r="B13" s="676"/>
      <c r="C13" s="676"/>
      <c r="D13" s="677"/>
      <c r="E13" s="45">
        <f>E14</f>
        <v>580000</v>
      </c>
      <c r="F13" s="45">
        <f>F14</f>
        <v>415325</v>
      </c>
      <c r="G13" s="45">
        <f>G14</f>
        <v>164675</v>
      </c>
      <c r="H13" s="46"/>
      <c r="I13" s="60">
        <f t="shared" si="0"/>
        <v>71.607758620689651</v>
      </c>
      <c r="J13" s="53" t="s">
        <v>240</v>
      </c>
    </row>
    <row r="14" spans="1:26" s="277" customFormat="1" ht="85.5" customHeight="1" x14ac:dyDescent="0.2">
      <c r="A14" s="9"/>
      <c r="B14" s="22"/>
      <c r="C14" s="668" t="s">
        <v>207</v>
      </c>
      <c r="D14" s="669"/>
      <c r="E14" s="45">
        <f>E15+E16+E17+E18</f>
        <v>580000</v>
      </c>
      <c r="F14" s="45">
        <f>F15+F16+F17+F18</f>
        <v>415325</v>
      </c>
      <c r="G14" s="45">
        <f>G15+G16+G17+G18</f>
        <v>164675</v>
      </c>
      <c r="H14" s="46"/>
      <c r="I14" s="60">
        <f t="shared" si="0"/>
        <v>71.607758620689651</v>
      </c>
      <c r="J14" s="47"/>
    </row>
    <row r="15" spans="1:26" s="277" customFormat="1" x14ac:dyDescent="0.35">
      <c r="A15" s="12"/>
      <c r="B15" s="13"/>
      <c r="C15" s="13"/>
      <c r="D15" s="278" t="s">
        <v>208</v>
      </c>
      <c r="E15" s="14">
        <v>500000</v>
      </c>
      <c r="F15" s="58">
        <f>56400-8000+56400+56400+56400+56400+56400+56400</f>
        <v>386800</v>
      </c>
      <c r="G15" s="58">
        <f>E15-F15</f>
        <v>113200</v>
      </c>
      <c r="H15" s="58"/>
      <c r="I15" s="58">
        <f t="shared" si="0"/>
        <v>77.36</v>
      </c>
      <c r="J15" s="16"/>
      <c r="L15" s="70">
        <v>22208</v>
      </c>
      <c r="M15" s="71"/>
    </row>
    <row r="16" spans="1:26" s="277" customFormat="1" x14ac:dyDescent="0.35">
      <c r="A16" s="9"/>
      <c r="B16" s="22"/>
      <c r="C16" s="22"/>
      <c r="D16" s="278" t="s">
        <v>209</v>
      </c>
      <c r="E16" s="14">
        <v>30000</v>
      </c>
      <c r="F16" s="58">
        <f>1225+1925+1750+1260+1960+1505+3500+1750+2100+3675+1750+4025+2100</f>
        <v>28525</v>
      </c>
      <c r="G16" s="58">
        <f>E16-F16</f>
        <v>1475</v>
      </c>
      <c r="H16" s="58"/>
      <c r="I16" s="58">
        <f t="shared" si="0"/>
        <v>95.083333333333329</v>
      </c>
      <c r="J16" s="16"/>
    </row>
    <row r="17" spans="1:10" s="277" customFormat="1" x14ac:dyDescent="0.35">
      <c r="A17" s="12"/>
      <c r="B17" s="13"/>
      <c r="C17" s="13"/>
      <c r="D17" s="278" t="s">
        <v>210</v>
      </c>
      <c r="E17" s="14">
        <v>40000</v>
      </c>
      <c r="F17" s="58"/>
      <c r="G17" s="58">
        <f>E17-F17</f>
        <v>40000</v>
      </c>
      <c r="H17" s="58"/>
      <c r="I17" s="15">
        <f t="shared" si="0"/>
        <v>0</v>
      </c>
      <c r="J17" s="16"/>
    </row>
    <row r="18" spans="1:10" s="277" customFormat="1" x14ac:dyDescent="0.35">
      <c r="A18" s="9"/>
      <c r="B18" s="22"/>
      <c r="C18" s="22"/>
      <c r="D18" s="281" t="s">
        <v>211</v>
      </c>
      <c r="E18" s="14">
        <v>10000</v>
      </c>
      <c r="F18" s="61"/>
      <c r="G18" s="58">
        <f>E18-F18</f>
        <v>10000</v>
      </c>
      <c r="H18" s="58"/>
      <c r="I18" s="15">
        <f t="shared" si="0"/>
        <v>0</v>
      </c>
      <c r="J18" s="21"/>
    </row>
    <row r="19" spans="1:10" s="277" customFormat="1" x14ac:dyDescent="0.2">
      <c r="A19" s="701" t="s">
        <v>212</v>
      </c>
      <c r="B19" s="676"/>
      <c r="C19" s="676"/>
      <c r="D19" s="677"/>
      <c r="E19" s="45">
        <f>E20</f>
        <v>100000</v>
      </c>
      <c r="F19" s="62">
        <f>F20</f>
        <v>0</v>
      </c>
      <c r="G19" s="62">
        <f>G20</f>
        <v>100000</v>
      </c>
      <c r="H19" s="62"/>
      <c r="I19" s="49">
        <f t="shared" si="0"/>
        <v>0</v>
      </c>
      <c r="J19" s="53" t="s">
        <v>240</v>
      </c>
    </row>
    <row r="20" spans="1:10" s="277" customFormat="1" ht="41.25" customHeight="1" x14ac:dyDescent="0.2">
      <c r="A20" s="17"/>
      <c r="B20" s="18"/>
      <c r="C20" s="668" t="s">
        <v>213</v>
      </c>
      <c r="D20" s="677"/>
      <c r="E20" s="45">
        <v>100000</v>
      </c>
      <c r="F20" s="60"/>
      <c r="G20" s="60">
        <f>E20-F20</f>
        <v>100000</v>
      </c>
      <c r="H20" s="60"/>
      <c r="I20" s="46">
        <f t="shared" si="0"/>
        <v>0</v>
      </c>
      <c r="J20" s="52"/>
    </row>
    <row r="21" spans="1:10" s="277" customFormat="1" x14ac:dyDescent="0.2">
      <c r="A21" s="701" t="s">
        <v>214</v>
      </c>
      <c r="B21" s="676"/>
      <c r="C21" s="676"/>
      <c r="D21" s="677"/>
      <c r="E21" s="45">
        <f>E22+E30+E37+E38</f>
        <v>4680000</v>
      </c>
      <c r="F21" s="45">
        <f>F22+F30+F37+F38</f>
        <v>3313517.77</v>
      </c>
      <c r="G21" s="45">
        <f>G22+G30+G37+G38</f>
        <v>1361482.23</v>
      </c>
      <c r="H21" s="45">
        <f>H22+H30+H37+H38</f>
        <v>5000</v>
      </c>
      <c r="I21" s="60">
        <f t="shared" si="0"/>
        <v>70.801661752136752</v>
      </c>
      <c r="J21" s="53" t="s">
        <v>240</v>
      </c>
    </row>
    <row r="22" spans="1:10" s="277" customFormat="1" ht="40.5" customHeight="1" x14ac:dyDescent="0.2">
      <c r="A22" s="12"/>
      <c r="B22" s="13"/>
      <c r="C22" s="668" t="s">
        <v>327</v>
      </c>
      <c r="D22" s="669"/>
      <c r="E22" s="45">
        <f>E23+E24+E25+E26+E27+E28+E29</f>
        <v>1425000</v>
      </c>
      <c r="F22" s="63">
        <f>F23+F24+F25+F26+F27+F28+F29</f>
        <v>1253390.55</v>
      </c>
      <c r="G22" s="63">
        <f>G23+G24+G25+G26+G27+G28+G29</f>
        <v>171609.4500000001</v>
      </c>
      <c r="H22" s="60"/>
      <c r="I22" s="60">
        <f t="shared" si="0"/>
        <v>87.957231578947372</v>
      </c>
      <c r="J22" s="47"/>
    </row>
    <row r="23" spans="1:10" s="277" customFormat="1" ht="42" x14ac:dyDescent="0.35">
      <c r="A23" s="24"/>
      <c r="B23" s="22"/>
      <c r="C23" s="22"/>
      <c r="D23" s="279" t="s">
        <v>215</v>
      </c>
      <c r="E23" s="14">
        <f>840000-40000</f>
        <v>800000</v>
      </c>
      <c r="F23" s="58">
        <f>39460.4+52180.4+9710+23741+47530.4+40238+19350+3268+50847+400+41276.9+26940+1288+41040.1+7000+89000+13416+2760+99770+39670.2+17000+7900</f>
        <v>673786.39999999991</v>
      </c>
      <c r="G23" s="58">
        <f>E23-F23</f>
        <v>126213.60000000009</v>
      </c>
      <c r="H23" s="58"/>
      <c r="I23" s="58">
        <f t="shared" si="0"/>
        <v>84.223299999999981</v>
      </c>
      <c r="J23" s="16"/>
    </row>
    <row r="24" spans="1:10" s="277" customFormat="1" x14ac:dyDescent="0.35">
      <c r="A24" s="12"/>
      <c r="B24" s="13"/>
      <c r="C24" s="13"/>
      <c r="D24" s="278" t="s">
        <v>216</v>
      </c>
      <c r="E24" s="14">
        <v>300000</v>
      </c>
      <c r="F24" s="58">
        <f>4550+350+4750+7670+90850+4820+2400+3900+1200+36400+1250+4060+920+4900+99920+32060</f>
        <v>300000</v>
      </c>
      <c r="G24" s="58">
        <f t="shared" ref="G24:G29" si="1">E24-F24</f>
        <v>0</v>
      </c>
      <c r="H24" s="58"/>
      <c r="I24" s="89">
        <f t="shared" si="0"/>
        <v>100</v>
      </c>
      <c r="J24" s="16"/>
    </row>
    <row r="25" spans="1:10" s="277" customFormat="1" x14ac:dyDescent="0.35">
      <c r="A25" s="12"/>
      <c r="B25" s="13"/>
      <c r="C25" s="13"/>
      <c r="D25" s="278" t="s">
        <v>217</v>
      </c>
      <c r="E25" s="14">
        <v>30000</v>
      </c>
      <c r="F25" s="59">
        <f>792+840+3940+1090+1090+230+220+1155+1634+4900+70+230+1320+640+248+800+4180+1032+248+230+100+670+330+1112+140+110+1140+1112+110+255+32</f>
        <v>30000</v>
      </c>
      <c r="G25" s="58">
        <f t="shared" si="1"/>
        <v>0</v>
      </c>
      <c r="H25" s="58"/>
      <c r="I25" s="58">
        <f t="shared" si="0"/>
        <v>100</v>
      </c>
      <c r="J25" s="16"/>
    </row>
    <row r="26" spans="1:10" s="277" customFormat="1" x14ac:dyDescent="0.35">
      <c r="A26" s="9"/>
      <c r="B26" s="22"/>
      <c r="C26" s="22"/>
      <c r="D26" s="278" t="s">
        <v>218</v>
      </c>
      <c r="E26" s="14">
        <f>100000-51000</f>
        <v>49000</v>
      </c>
      <c r="F26" s="59">
        <f>41350+7650</f>
        <v>49000</v>
      </c>
      <c r="G26" s="58">
        <f t="shared" si="1"/>
        <v>0</v>
      </c>
      <c r="H26" s="58"/>
      <c r="I26" s="58">
        <f t="shared" si="0"/>
        <v>100</v>
      </c>
      <c r="J26" s="16"/>
    </row>
    <row r="27" spans="1:10" s="277" customFormat="1" x14ac:dyDescent="0.35">
      <c r="A27" s="24"/>
      <c r="B27" s="25"/>
      <c r="C27" s="33"/>
      <c r="D27" s="278" t="s">
        <v>219</v>
      </c>
      <c r="E27" s="48">
        <v>30000</v>
      </c>
      <c r="F27" s="57">
        <f>4135.55+3555+1380</f>
        <v>9070.5499999999993</v>
      </c>
      <c r="G27" s="58">
        <f t="shared" si="1"/>
        <v>20929.45</v>
      </c>
      <c r="H27" s="58"/>
      <c r="I27" s="58">
        <f t="shared" si="0"/>
        <v>30.235166666666665</v>
      </c>
      <c r="J27" s="21"/>
    </row>
    <row r="28" spans="1:10" s="277" customFormat="1" ht="42" x14ac:dyDescent="0.35">
      <c r="A28" s="12"/>
      <c r="B28" s="13"/>
      <c r="C28" s="274"/>
      <c r="D28" s="279" t="s">
        <v>220</v>
      </c>
      <c r="E28" s="23">
        <f>20000+40000</f>
        <v>60000</v>
      </c>
      <c r="F28" s="59">
        <f>1575+875+1120+1575+1925+770+350+4550+5000+1575+525+4900+1400+525+525+4900+420+245+525+4375+210+1000+1400+2500+630+350+3850+315+245+350+525</f>
        <v>49030</v>
      </c>
      <c r="G28" s="58">
        <f t="shared" si="1"/>
        <v>10970</v>
      </c>
      <c r="H28" s="58"/>
      <c r="I28" s="58">
        <f t="shared" si="0"/>
        <v>81.716666666666669</v>
      </c>
      <c r="J28" s="16"/>
    </row>
    <row r="29" spans="1:10" s="277" customFormat="1" ht="42" x14ac:dyDescent="0.2">
      <c r="A29" s="17"/>
      <c r="B29" s="18"/>
      <c r="C29" s="40"/>
      <c r="D29" s="282" t="s">
        <v>458</v>
      </c>
      <c r="E29" s="48">
        <v>156000</v>
      </c>
      <c r="F29" s="57">
        <f>2811.6+4354.8+30000+10907.2+800+1000+3460+86300+2870</f>
        <v>142503.6</v>
      </c>
      <c r="G29" s="58">
        <f t="shared" si="1"/>
        <v>13496.399999999994</v>
      </c>
      <c r="H29" s="58"/>
      <c r="I29" s="58">
        <f t="shared" si="0"/>
        <v>91.348461538461535</v>
      </c>
      <c r="J29" s="21"/>
    </row>
    <row r="30" spans="1:10" s="277" customFormat="1" ht="41.25" customHeight="1" x14ac:dyDescent="0.2">
      <c r="A30" s="41"/>
      <c r="B30" s="668" t="s">
        <v>221</v>
      </c>
      <c r="C30" s="668"/>
      <c r="D30" s="669"/>
      <c r="E30" s="49">
        <f>E31+E32+E33+E34+E35+E36</f>
        <v>1104000</v>
      </c>
      <c r="F30" s="62">
        <f>F31+F32+F33+F34+F35+F36</f>
        <v>733032.22</v>
      </c>
      <c r="G30" s="62">
        <f>G31+G32+G33+G34+G35+G36</f>
        <v>370967.77999999997</v>
      </c>
      <c r="H30" s="79"/>
      <c r="I30" s="79">
        <f t="shared" si="0"/>
        <v>66.397846014492757</v>
      </c>
      <c r="J30" s="53" t="s">
        <v>240</v>
      </c>
    </row>
    <row r="31" spans="1:10" s="277" customFormat="1" ht="42" x14ac:dyDescent="0.35">
      <c r="A31" s="24"/>
      <c r="B31" s="25"/>
      <c r="C31" s="33"/>
      <c r="D31" s="283" t="s">
        <v>222</v>
      </c>
      <c r="E31" s="48">
        <v>180000</v>
      </c>
      <c r="F31" s="57">
        <f>14516.12+15000+15000+15000+15000+15000+15000+15000</f>
        <v>119516.12</v>
      </c>
      <c r="G31" s="57">
        <f t="shared" ref="G31:G41" si="2">E31-F31</f>
        <v>60483.880000000005</v>
      </c>
      <c r="H31" s="57"/>
      <c r="I31" s="57">
        <f t="shared" si="0"/>
        <v>66.397844444444445</v>
      </c>
      <c r="J31" s="21"/>
    </row>
    <row r="32" spans="1:10" s="277" customFormat="1" ht="42" x14ac:dyDescent="0.2">
      <c r="A32" s="12"/>
      <c r="B32" s="13"/>
      <c r="C32" s="274"/>
      <c r="D32" s="275" t="s">
        <v>223</v>
      </c>
      <c r="E32" s="23">
        <v>156000</v>
      </c>
      <c r="F32" s="59">
        <f>12580.64+13000+13000+13000+13000+13000+13000+13000</f>
        <v>103580.64</v>
      </c>
      <c r="G32" s="57">
        <f t="shared" si="2"/>
        <v>52419.360000000001</v>
      </c>
      <c r="H32" s="57"/>
      <c r="I32" s="57">
        <f t="shared" si="0"/>
        <v>66.39784615384616</v>
      </c>
      <c r="J32" s="16"/>
    </row>
    <row r="33" spans="1:26" s="277" customFormat="1" ht="42" x14ac:dyDescent="0.2">
      <c r="A33" s="12"/>
      <c r="B33" s="33"/>
      <c r="C33" s="33"/>
      <c r="D33" s="32" t="s">
        <v>224</v>
      </c>
      <c r="E33" s="254">
        <v>180000</v>
      </c>
      <c r="F33" s="255">
        <f>14516.12+15000+15000+15000+15000+15000+15000+15000</f>
        <v>119516.12</v>
      </c>
      <c r="G33" s="57">
        <f t="shared" si="2"/>
        <v>60483.880000000005</v>
      </c>
      <c r="H33" s="57"/>
      <c r="I33" s="57">
        <f t="shared" si="0"/>
        <v>66.397844444444445</v>
      </c>
      <c r="J33" s="21"/>
    </row>
    <row r="34" spans="1:26" s="277" customFormat="1" ht="43.5" customHeight="1" x14ac:dyDescent="0.2">
      <c r="A34" s="12"/>
      <c r="B34" s="13"/>
      <c r="C34" s="33"/>
      <c r="D34" s="32" t="s">
        <v>225</v>
      </c>
      <c r="E34" s="51">
        <v>180000</v>
      </c>
      <c r="F34" s="64">
        <f>14516.12+15000+15000+15000+15000+15000+15000+15000</f>
        <v>119516.12</v>
      </c>
      <c r="G34" s="57">
        <f t="shared" si="2"/>
        <v>60483.880000000005</v>
      </c>
      <c r="H34" s="57"/>
      <c r="I34" s="57">
        <f t="shared" si="0"/>
        <v>66.397844444444445</v>
      </c>
      <c r="J34" s="21"/>
    </row>
    <row r="35" spans="1:26" ht="42" x14ac:dyDescent="0.2">
      <c r="A35" s="27"/>
      <c r="B35" s="28"/>
      <c r="C35" s="28"/>
      <c r="D35" s="19" t="s">
        <v>226</v>
      </c>
      <c r="E35" s="23">
        <v>132000</v>
      </c>
      <c r="F35" s="58">
        <f>10645.16+11000+11000+11000+11000+11000+11000+11000</f>
        <v>87645.16</v>
      </c>
      <c r="G35" s="57">
        <f t="shared" si="2"/>
        <v>44354.84</v>
      </c>
      <c r="H35" s="57"/>
      <c r="I35" s="57">
        <f t="shared" si="0"/>
        <v>66.397848484848481</v>
      </c>
      <c r="J35" s="1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277" customFormat="1" ht="21" customHeight="1" x14ac:dyDescent="0.35">
      <c r="A36" s="17"/>
      <c r="B36" s="33"/>
      <c r="C36" s="33"/>
      <c r="D36" s="280" t="s">
        <v>227</v>
      </c>
      <c r="E36" s="50">
        <v>276000</v>
      </c>
      <c r="F36" s="65">
        <f>11129.03+11129.03+11500+11500+11500+11500+11500+11500+11500+11500+11500+11500+11500+11500+11500+11500</f>
        <v>183258.06</v>
      </c>
      <c r="G36" s="57">
        <f t="shared" si="2"/>
        <v>92741.94</v>
      </c>
      <c r="H36" s="57"/>
      <c r="I36" s="57">
        <f t="shared" si="0"/>
        <v>66.397847826086959</v>
      </c>
      <c r="J36" s="21"/>
    </row>
    <row r="37" spans="1:26" s="277" customFormat="1" ht="45" customHeight="1" x14ac:dyDescent="0.2">
      <c r="A37" s="577"/>
      <c r="B37" s="578"/>
      <c r="C37" s="706" t="s">
        <v>296</v>
      </c>
      <c r="D37" s="707"/>
      <c r="E37" s="579">
        <f>100000+51000</f>
        <v>151000</v>
      </c>
      <c r="F37" s="580">
        <v>151000</v>
      </c>
      <c r="G37" s="580">
        <f t="shared" si="2"/>
        <v>0</v>
      </c>
      <c r="H37" s="580"/>
      <c r="I37" s="580">
        <f>F37*100/E37</f>
        <v>100</v>
      </c>
      <c r="J37" s="581" t="s">
        <v>240</v>
      </c>
      <c r="K37" s="703" t="s">
        <v>295</v>
      </c>
      <c r="L37" s="704"/>
      <c r="M37" s="704"/>
      <c r="N37" s="704"/>
      <c r="O37" s="704"/>
    </row>
    <row r="38" spans="1:26" ht="22.5" customHeight="1" x14ac:dyDescent="0.2">
      <c r="A38" s="42"/>
      <c r="B38" s="39"/>
      <c r="C38" s="676" t="s">
        <v>228</v>
      </c>
      <c r="D38" s="677"/>
      <c r="E38" s="49">
        <v>2000000</v>
      </c>
      <c r="F38" s="62">
        <f>F39+F40+F41+F42+F43+F44+F45+F46+F47+F48+F49+F50+F51+F52+F53+F54+F55</f>
        <v>1176095</v>
      </c>
      <c r="G38" s="62">
        <f>E38-F38-H38</f>
        <v>818905</v>
      </c>
      <c r="H38" s="62">
        <f>H39+H40+H41+H42+H43+H44+H45+H46</f>
        <v>5000</v>
      </c>
      <c r="I38" s="77">
        <f t="shared" si="0"/>
        <v>58.804749999999999</v>
      </c>
      <c r="J38" s="4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2.25" customHeight="1" x14ac:dyDescent="0.2">
      <c r="A39" s="80"/>
      <c r="B39" s="81"/>
      <c r="C39" s="81"/>
      <c r="D39" s="82" t="s">
        <v>285</v>
      </c>
      <c r="E39" s="83">
        <v>75500</v>
      </c>
      <c r="F39" s="84">
        <f>15000+13500+47000</f>
        <v>75500</v>
      </c>
      <c r="G39" s="84">
        <f t="shared" si="2"/>
        <v>0</v>
      </c>
      <c r="H39" s="84"/>
      <c r="I39" s="85">
        <f t="shared" si="0"/>
        <v>100</v>
      </c>
      <c r="J39" s="86" t="s">
        <v>238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2.75" customHeight="1" x14ac:dyDescent="0.2">
      <c r="A40" s="42"/>
      <c r="B40" s="276"/>
      <c r="C40" s="276"/>
      <c r="D40" s="275" t="s">
        <v>237</v>
      </c>
      <c r="E40" s="23">
        <v>135600</v>
      </c>
      <c r="F40" s="67">
        <v>92100</v>
      </c>
      <c r="G40" s="67">
        <f t="shared" si="2"/>
        <v>43500</v>
      </c>
      <c r="H40" s="67"/>
      <c r="I40" s="90">
        <f t="shared" si="0"/>
        <v>67.920353982300881</v>
      </c>
      <c r="J40" s="16" t="s">
        <v>239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2.75" customHeight="1" x14ac:dyDescent="0.2">
      <c r="A41" s="80"/>
      <c r="B41" s="81"/>
      <c r="C41" s="81"/>
      <c r="D41" s="87" t="s">
        <v>286</v>
      </c>
      <c r="E41" s="83">
        <v>130000</v>
      </c>
      <c r="F41" s="84">
        <v>130000</v>
      </c>
      <c r="G41" s="84">
        <f t="shared" si="2"/>
        <v>0</v>
      </c>
      <c r="H41" s="84"/>
      <c r="I41" s="85">
        <f t="shared" si="0"/>
        <v>100</v>
      </c>
      <c r="J41" s="86" t="s">
        <v>22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8.75" customHeight="1" x14ac:dyDescent="0.2">
      <c r="A42" s="80"/>
      <c r="B42" s="81"/>
      <c r="C42" s="81"/>
      <c r="D42" s="87" t="s">
        <v>267</v>
      </c>
      <c r="E42" s="83">
        <v>143145</v>
      </c>
      <c r="F42" s="84">
        <f>73070+70075-5000</f>
        <v>138145</v>
      </c>
      <c r="G42" s="84">
        <f>E42-F42-H42</f>
        <v>0</v>
      </c>
      <c r="H42" s="84">
        <v>5000</v>
      </c>
      <c r="I42" s="85">
        <v>100</v>
      </c>
      <c r="J42" s="86" t="s">
        <v>257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3" x14ac:dyDescent="0.2">
      <c r="A43" s="42"/>
      <c r="B43" s="276"/>
      <c r="C43" s="276"/>
      <c r="D43" s="275" t="s">
        <v>287</v>
      </c>
      <c r="E43" s="23">
        <v>280000</v>
      </c>
      <c r="F43" s="67">
        <f>40000+40000+40000+40000+40000+40000</f>
        <v>240000</v>
      </c>
      <c r="G43" s="67">
        <f t="shared" ref="G43:G55" si="3">E43-F43</f>
        <v>40000</v>
      </c>
      <c r="H43" s="67"/>
      <c r="I43" s="78">
        <f t="shared" ref="I43:I55" si="4">F43*100/E43</f>
        <v>85.714285714285708</v>
      </c>
      <c r="J43" s="16" t="s">
        <v>288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42" x14ac:dyDescent="0.2">
      <c r="A44" s="80"/>
      <c r="B44" s="81"/>
      <c r="C44" s="81"/>
      <c r="D44" s="87" t="s">
        <v>297</v>
      </c>
      <c r="E44" s="83">
        <v>50000</v>
      </c>
      <c r="F44" s="84">
        <f>39950+10050</f>
        <v>50000</v>
      </c>
      <c r="G44" s="84">
        <f t="shared" si="3"/>
        <v>0</v>
      </c>
      <c r="H44" s="84"/>
      <c r="I44" s="85">
        <f t="shared" si="4"/>
        <v>100</v>
      </c>
      <c r="J44" s="86" t="s">
        <v>298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53.25" customHeight="1" x14ac:dyDescent="0.2">
      <c r="A45" s="42"/>
      <c r="B45" s="276"/>
      <c r="C45" s="276"/>
      <c r="D45" s="275" t="s">
        <v>328</v>
      </c>
      <c r="E45" s="23">
        <v>22400</v>
      </c>
      <c r="F45" s="67">
        <f>5000+9000+5400</f>
        <v>19400</v>
      </c>
      <c r="G45" s="67">
        <f t="shared" si="3"/>
        <v>3000</v>
      </c>
      <c r="H45" s="67"/>
      <c r="I45" s="78">
        <f t="shared" si="4"/>
        <v>86.607142857142861</v>
      </c>
      <c r="J45" s="16" t="s">
        <v>329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1.5" x14ac:dyDescent="0.2">
      <c r="A46" s="80"/>
      <c r="B46" s="81"/>
      <c r="C46" s="81"/>
      <c r="D46" s="87" t="s">
        <v>339</v>
      </c>
      <c r="E46" s="83">
        <v>50000</v>
      </c>
      <c r="F46" s="84">
        <v>50000</v>
      </c>
      <c r="G46" s="84">
        <f t="shared" si="3"/>
        <v>0</v>
      </c>
      <c r="H46" s="84"/>
      <c r="I46" s="85">
        <f t="shared" si="4"/>
        <v>100</v>
      </c>
      <c r="J46" s="86" t="s">
        <v>22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42" x14ac:dyDescent="0.2">
      <c r="A47" s="80"/>
      <c r="B47" s="81"/>
      <c r="C47" s="81"/>
      <c r="D47" s="87" t="s">
        <v>419</v>
      </c>
      <c r="E47" s="83">
        <v>81000</v>
      </c>
      <c r="F47" s="84">
        <v>81000</v>
      </c>
      <c r="G47" s="84">
        <f t="shared" si="3"/>
        <v>0</v>
      </c>
      <c r="H47" s="84"/>
      <c r="I47" s="85">
        <f t="shared" si="4"/>
        <v>100</v>
      </c>
      <c r="J47" s="86" t="s">
        <v>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84" x14ac:dyDescent="0.2">
      <c r="A48" s="42"/>
      <c r="B48" s="276"/>
      <c r="C48" s="276"/>
      <c r="D48" s="275" t="s">
        <v>469</v>
      </c>
      <c r="E48" s="23">
        <v>361400</v>
      </c>
      <c r="F48" s="67">
        <f>20000+11000+19600+20000+35600+42250</f>
        <v>148450</v>
      </c>
      <c r="G48" s="67">
        <f t="shared" si="3"/>
        <v>212950</v>
      </c>
      <c r="H48" s="67"/>
      <c r="I48" s="78">
        <f t="shared" si="4"/>
        <v>41.076369673491975</v>
      </c>
      <c r="J48" s="16" t="s">
        <v>420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42" x14ac:dyDescent="0.2">
      <c r="A49" s="80"/>
      <c r="B49" s="81"/>
      <c r="C49" s="81"/>
      <c r="D49" s="87" t="s">
        <v>470</v>
      </c>
      <c r="E49" s="83">
        <v>76000</v>
      </c>
      <c r="F49" s="84">
        <f>62500+13500</f>
        <v>76000</v>
      </c>
      <c r="G49" s="84">
        <f t="shared" si="3"/>
        <v>0</v>
      </c>
      <c r="H49" s="84"/>
      <c r="I49" s="85">
        <f t="shared" si="4"/>
        <v>100</v>
      </c>
      <c r="J49" s="86" t="s">
        <v>238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84" x14ac:dyDescent="0.2">
      <c r="A50" s="42"/>
      <c r="B50" s="309"/>
      <c r="C50" s="309"/>
      <c r="D50" s="293" t="s">
        <v>544</v>
      </c>
      <c r="E50" s="23">
        <v>83500</v>
      </c>
      <c r="F50" s="67">
        <f>11000+5700+11000+5700</f>
        <v>33400</v>
      </c>
      <c r="G50" s="67">
        <f t="shared" si="3"/>
        <v>50100</v>
      </c>
      <c r="H50" s="67"/>
      <c r="I50" s="78">
        <f t="shared" si="4"/>
        <v>40</v>
      </c>
      <c r="J50" s="16" t="s">
        <v>257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7.25" x14ac:dyDescent="0.2">
      <c r="A51" s="42"/>
      <c r="B51" s="309"/>
      <c r="C51" s="309"/>
      <c r="D51" s="293" t="s">
        <v>545</v>
      </c>
      <c r="E51" s="23">
        <v>50000</v>
      </c>
      <c r="F51" s="67"/>
      <c r="G51" s="67">
        <f t="shared" si="3"/>
        <v>50000</v>
      </c>
      <c r="H51" s="67"/>
      <c r="I51" s="78">
        <f t="shared" si="4"/>
        <v>0</v>
      </c>
      <c r="J51" s="16" t="s">
        <v>546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50.25" customHeight="1" x14ac:dyDescent="0.2">
      <c r="A52" s="42"/>
      <c r="B52" s="507"/>
      <c r="C52" s="507"/>
      <c r="D52" s="293" t="s">
        <v>578</v>
      </c>
      <c r="E52" s="23">
        <v>100000</v>
      </c>
      <c r="F52" s="67">
        <v>42100</v>
      </c>
      <c r="G52" s="67">
        <f t="shared" si="3"/>
        <v>57900</v>
      </c>
      <c r="H52" s="67"/>
      <c r="I52" s="78">
        <f t="shared" si="4"/>
        <v>42.1</v>
      </c>
      <c r="J52" s="16" t="s">
        <v>298</v>
      </c>
      <c r="K52" s="3" t="s">
        <v>608</v>
      </c>
      <c r="L52" s="3"/>
      <c r="M52" s="575">
        <v>22445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3" x14ac:dyDescent="0.2">
      <c r="A53" s="42"/>
      <c r="B53" s="574"/>
      <c r="C53" s="574"/>
      <c r="D53" s="293" t="s">
        <v>607</v>
      </c>
      <c r="E53" s="23">
        <v>170000</v>
      </c>
      <c r="F53" s="67"/>
      <c r="G53" s="67">
        <f t="shared" si="3"/>
        <v>170000</v>
      </c>
      <c r="H53" s="67"/>
      <c r="I53" s="78">
        <f t="shared" si="4"/>
        <v>0</v>
      </c>
      <c r="J53" s="16" t="s">
        <v>606</v>
      </c>
      <c r="K53" s="3"/>
      <c r="L53" s="3"/>
      <c r="M53" s="57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47.25" x14ac:dyDescent="0.2">
      <c r="A54" s="42"/>
      <c r="B54" s="595"/>
      <c r="C54" s="595"/>
      <c r="D54" s="293" t="s">
        <v>619</v>
      </c>
      <c r="E54" s="23">
        <v>60000</v>
      </c>
      <c r="F54" s="67"/>
      <c r="G54" s="67">
        <f t="shared" si="3"/>
        <v>60000</v>
      </c>
      <c r="H54" s="67"/>
      <c r="I54" s="78">
        <f t="shared" si="4"/>
        <v>0</v>
      </c>
      <c r="J54" s="16" t="s">
        <v>620</v>
      </c>
      <c r="K54" s="3"/>
      <c r="L54" s="3"/>
      <c r="M54" s="57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3" x14ac:dyDescent="0.2">
      <c r="A55" s="42"/>
      <c r="B55" s="604"/>
      <c r="C55" s="604"/>
      <c r="D55" s="293" t="s">
        <v>635</v>
      </c>
      <c r="E55" s="23">
        <v>131455</v>
      </c>
      <c r="F55" s="67"/>
      <c r="G55" s="67">
        <f t="shared" si="3"/>
        <v>131455</v>
      </c>
      <c r="H55" s="67"/>
      <c r="I55" s="78">
        <f t="shared" si="4"/>
        <v>0</v>
      </c>
      <c r="J55" s="16" t="s">
        <v>420</v>
      </c>
      <c r="K55" s="3"/>
      <c r="L55" s="3"/>
      <c r="M55" s="57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8.25" customHeight="1" x14ac:dyDescent="0.2">
      <c r="A56" s="685" t="s">
        <v>229</v>
      </c>
      <c r="B56" s="676"/>
      <c r="C56" s="676"/>
      <c r="D56" s="677"/>
      <c r="E56" s="49">
        <f>E57</f>
        <v>1800000</v>
      </c>
      <c r="F56" s="49">
        <f>F57</f>
        <v>610290</v>
      </c>
      <c r="G56" s="49">
        <f>G57</f>
        <v>1189710</v>
      </c>
      <c r="H56" s="49"/>
      <c r="I56" s="62">
        <f t="shared" si="0"/>
        <v>33.905000000000001</v>
      </c>
      <c r="J56" s="5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42"/>
      <c r="B57" s="43"/>
      <c r="C57" s="668" t="s">
        <v>284</v>
      </c>
      <c r="D57" s="677"/>
      <c r="E57" s="49">
        <v>1800000</v>
      </c>
      <c r="F57" s="62">
        <f>F58+F59+F60+F61+F62+F63+F64+F65+F66+F67+F68+F69</f>
        <v>610290</v>
      </c>
      <c r="G57" s="62">
        <f t="shared" ref="G57:G69" si="5">E57-F57</f>
        <v>1189710</v>
      </c>
      <c r="H57" s="62"/>
      <c r="I57" s="62">
        <f t="shared" si="0"/>
        <v>33.905000000000001</v>
      </c>
      <c r="J57" s="47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42" x14ac:dyDescent="0.2">
      <c r="A58" s="80"/>
      <c r="B58" s="103"/>
      <c r="C58" s="104"/>
      <c r="D58" s="87" t="s">
        <v>293</v>
      </c>
      <c r="E58" s="83">
        <v>14700</v>
      </c>
      <c r="F58" s="84">
        <f>14700</f>
        <v>14700</v>
      </c>
      <c r="G58" s="84">
        <f t="shared" si="5"/>
        <v>0</v>
      </c>
      <c r="H58" s="84"/>
      <c r="I58" s="84">
        <f t="shared" ref="I58:I69" si="6">F58*100/E58</f>
        <v>100</v>
      </c>
      <c r="J58" s="105" t="s">
        <v>240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63" x14ac:dyDescent="0.2">
      <c r="A59" s="42"/>
      <c r="B59" s="43"/>
      <c r="C59" s="274"/>
      <c r="D59" s="275" t="s">
        <v>294</v>
      </c>
      <c r="E59" s="23">
        <v>240000</v>
      </c>
      <c r="F59" s="67">
        <f>24000+24000+24000+24000+24000+24000+24000</f>
        <v>168000</v>
      </c>
      <c r="G59" s="67">
        <f t="shared" si="5"/>
        <v>72000</v>
      </c>
      <c r="H59" s="67"/>
      <c r="I59" s="67">
        <f t="shared" si="6"/>
        <v>70</v>
      </c>
      <c r="J59" s="88" t="s">
        <v>240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42" x14ac:dyDescent="0.2">
      <c r="A60" s="80"/>
      <c r="B60" s="103"/>
      <c r="C60" s="104"/>
      <c r="D60" s="87" t="s">
        <v>413</v>
      </c>
      <c r="E60" s="83">
        <v>97960</v>
      </c>
      <c r="F60" s="84">
        <v>97960</v>
      </c>
      <c r="G60" s="84">
        <f t="shared" si="5"/>
        <v>0</v>
      </c>
      <c r="H60" s="84"/>
      <c r="I60" s="84">
        <f t="shared" si="6"/>
        <v>100</v>
      </c>
      <c r="J60" s="105" t="s">
        <v>240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2" x14ac:dyDescent="0.2">
      <c r="A61" s="42"/>
      <c r="B61" s="43"/>
      <c r="C61" s="274"/>
      <c r="D61" s="275" t="s">
        <v>418</v>
      </c>
      <c r="E61" s="23">
        <v>180000</v>
      </c>
      <c r="F61" s="67">
        <f>20000+20000+20000</f>
        <v>60000</v>
      </c>
      <c r="G61" s="67">
        <f t="shared" si="5"/>
        <v>120000</v>
      </c>
      <c r="H61" s="67"/>
      <c r="I61" s="67">
        <f t="shared" si="6"/>
        <v>33.333333333333336</v>
      </c>
      <c r="J61" s="88" t="s">
        <v>240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42"/>
      <c r="B62" s="43"/>
      <c r="C62" s="274"/>
      <c r="D62" s="275" t="s">
        <v>421</v>
      </c>
      <c r="E62" s="23">
        <v>32100</v>
      </c>
      <c r="F62" s="67"/>
      <c r="G62" s="67">
        <f t="shared" si="5"/>
        <v>32100</v>
      </c>
      <c r="H62" s="67"/>
      <c r="I62" s="23">
        <f t="shared" si="6"/>
        <v>0</v>
      </c>
      <c r="J62" s="88" t="s">
        <v>240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63" x14ac:dyDescent="0.2">
      <c r="A63" s="80"/>
      <c r="B63" s="103"/>
      <c r="C63" s="104"/>
      <c r="D63" s="87" t="s">
        <v>457</v>
      </c>
      <c r="E63" s="83">
        <v>25000</v>
      </c>
      <c r="F63" s="84">
        <v>25000</v>
      </c>
      <c r="G63" s="84">
        <f t="shared" si="5"/>
        <v>0</v>
      </c>
      <c r="H63" s="84"/>
      <c r="I63" s="84">
        <f t="shared" si="6"/>
        <v>100</v>
      </c>
      <c r="J63" s="105" t="s">
        <v>240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42"/>
      <c r="B64" s="43"/>
      <c r="C64" s="288"/>
      <c r="D64" s="289" t="s">
        <v>472</v>
      </c>
      <c r="E64" s="23">
        <v>149000</v>
      </c>
      <c r="F64" s="67"/>
      <c r="G64" s="67">
        <f t="shared" si="5"/>
        <v>149000</v>
      </c>
      <c r="H64" s="67"/>
      <c r="I64" s="67">
        <f t="shared" si="6"/>
        <v>0</v>
      </c>
      <c r="J64" s="88" t="s">
        <v>240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2" x14ac:dyDescent="0.2">
      <c r="A65" s="42"/>
      <c r="B65" s="43"/>
      <c r="C65" s="291"/>
      <c r="D65" s="292" t="s">
        <v>475</v>
      </c>
      <c r="E65" s="23">
        <v>190560</v>
      </c>
      <c r="F65" s="67">
        <f>121700+43450+21200+4030</f>
        <v>190380</v>
      </c>
      <c r="G65" s="67">
        <f t="shared" si="5"/>
        <v>180</v>
      </c>
      <c r="H65" s="67"/>
      <c r="I65" s="67">
        <f t="shared" si="6"/>
        <v>99.905541561712852</v>
      </c>
      <c r="J65" s="88" t="s">
        <v>476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2" x14ac:dyDescent="0.2">
      <c r="A66" s="80"/>
      <c r="B66" s="103"/>
      <c r="C66" s="104"/>
      <c r="D66" s="87" t="s">
        <v>571</v>
      </c>
      <c r="E66" s="83">
        <v>43000</v>
      </c>
      <c r="F66" s="84">
        <v>43000</v>
      </c>
      <c r="G66" s="84">
        <f t="shared" si="5"/>
        <v>0</v>
      </c>
      <c r="H66" s="84"/>
      <c r="I66" s="84">
        <f t="shared" si="6"/>
        <v>100</v>
      </c>
      <c r="J66" s="105" t="s">
        <v>240</v>
      </c>
      <c r="K66" s="575">
        <v>22447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42" x14ac:dyDescent="0.2">
      <c r="A67" s="42"/>
      <c r="B67" s="43"/>
      <c r="C67" s="462"/>
      <c r="D67" s="293" t="s">
        <v>577</v>
      </c>
      <c r="E67" s="23">
        <v>11250</v>
      </c>
      <c r="F67" s="67">
        <v>11250</v>
      </c>
      <c r="G67" s="67">
        <f t="shared" si="5"/>
        <v>0</v>
      </c>
      <c r="H67" s="67"/>
      <c r="I67" s="67">
        <f t="shared" si="6"/>
        <v>100</v>
      </c>
      <c r="J67" s="88" t="s">
        <v>240</v>
      </c>
      <c r="K67" s="575">
        <v>22468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2" x14ac:dyDescent="0.2">
      <c r="A68" s="42"/>
      <c r="B68" s="43"/>
      <c r="C68" s="594"/>
      <c r="D68" s="293" t="s">
        <v>617</v>
      </c>
      <c r="E68" s="23">
        <v>70000</v>
      </c>
      <c r="F68" s="67"/>
      <c r="G68" s="67">
        <f t="shared" si="5"/>
        <v>70000</v>
      </c>
      <c r="H68" s="67"/>
      <c r="I68" s="67">
        <f t="shared" si="6"/>
        <v>0</v>
      </c>
      <c r="J68" s="88" t="s">
        <v>618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42" x14ac:dyDescent="0.2">
      <c r="A69" s="42"/>
      <c r="B69" s="43"/>
      <c r="C69" s="603"/>
      <c r="D69" s="293" t="s">
        <v>636</v>
      </c>
      <c r="E69" s="23">
        <v>353590</v>
      </c>
      <c r="F69" s="67"/>
      <c r="G69" s="67">
        <f t="shared" si="5"/>
        <v>353590</v>
      </c>
      <c r="H69" s="67"/>
      <c r="I69" s="67">
        <f t="shared" si="6"/>
        <v>0</v>
      </c>
      <c r="J69" s="16" t="s">
        <v>420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701" t="s">
        <v>230</v>
      </c>
      <c r="B70" s="676"/>
      <c r="C70" s="676"/>
      <c r="D70" s="677"/>
      <c r="E70" s="49">
        <f>E71</f>
        <v>540000</v>
      </c>
      <c r="F70" s="62">
        <f>F71</f>
        <v>249252.2</v>
      </c>
      <c r="G70" s="62">
        <f>G71</f>
        <v>290747.8</v>
      </c>
      <c r="H70" s="62"/>
      <c r="I70" s="62">
        <f t="shared" si="0"/>
        <v>46.157814814814813</v>
      </c>
      <c r="J70" s="53" t="s">
        <v>240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43.5" customHeight="1" x14ac:dyDescent="0.2">
      <c r="A71" s="42"/>
      <c r="B71" s="43"/>
      <c r="C71" s="668" t="s">
        <v>231</v>
      </c>
      <c r="D71" s="677"/>
      <c r="E71" s="49">
        <f>E72+E73+E74+E75+E76+E77</f>
        <v>540000</v>
      </c>
      <c r="F71" s="62">
        <f>F72+F73+F74+F75+F76+F77</f>
        <v>249252.2</v>
      </c>
      <c r="G71" s="62">
        <f>G72+G73+G74+G75+G76+G77</f>
        <v>290747.8</v>
      </c>
      <c r="H71" s="62"/>
      <c r="I71" s="62">
        <f t="shared" si="0"/>
        <v>46.157814814814813</v>
      </c>
      <c r="J71" s="47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5">
      <c r="A72" s="42"/>
      <c r="B72" s="43"/>
      <c r="C72" s="43"/>
      <c r="D72" s="284" t="s">
        <v>232</v>
      </c>
      <c r="E72" s="23">
        <v>200000</v>
      </c>
      <c r="F72" s="59">
        <f>52866+99383</f>
        <v>152249</v>
      </c>
      <c r="G72" s="59">
        <f t="shared" ref="G72:G77" si="7">E72-F72</f>
        <v>47751</v>
      </c>
      <c r="H72" s="59"/>
      <c r="I72" s="59">
        <f t="shared" si="0"/>
        <v>76.124499999999998</v>
      </c>
      <c r="J72" s="1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5">
      <c r="A73" s="29"/>
      <c r="B73" s="30"/>
      <c r="C73" s="30"/>
      <c r="D73" s="278" t="s">
        <v>233</v>
      </c>
      <c r="E73" s="23">
        <v>10000</v>
      </c>
      <c r="F73" s="59">
        <f>1580+185+230+230+840+600+570+3808+840+185+840</f>
        <v>9908</v>
      </c>
      <c r="G73" s="59">
        <f t="shared" si="7"/>
        <v>92</v>
      </c>
      <c r="H73" s="59"/>
      <c r="I73" s="59">
        <f t="shared" si="0"/>
        <v>99.08</v>
      </c>
      <c r="J73" s="1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5">
      <c r="A74" s="29"/>
      <c r="B74" s="30"/>
      <c r="C74" s="30"/>
      <c r="D74" s="278" t="s">
        <v>234</v>
      </c>
      <c r="E74" s="44">
        <v>100000</v>
      </c>
      <c r="F74" s="59">
        <f>6000</f>
        <v>6000</v>
      </c>
      <c r="G74" s="59">
        <f t="shared" si="7"/>
        <v>94000</v>
      </c>
      <c r="H74" s="59"/>
      <c r="I74" s="59">
        <f t="shared" si="0"/>
        <v>6</v>
      </c>
      <c r="J74" s="1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5">
      <c r="A75" s="29"/>
      <c r="B75" s="30"/>
      <c r="C75" s="30"/>
      <c r="D75" s="278" t="s">
        <v>235</v>
      </c>
      <c r="E75" s="44">
        <v>20000</v>
      </c>
      <c r="F75" s="59"/>
      <c r="G75" s="59">
        <f t="shared" si="7"/>
        <v>20000</v>
      </c>
      <c r="H75" s="59"/>
      <c r="I75" s="20">
        <f t="shared" si="0"/>
        <v>0</v>
      </c>
      <c r="J75" s="1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42" x14ac:dyDescent="0.35">
      <c r="A76" s="29"/>
      <c r="B76" s="30"/>
      <c r="C76" s="30"/>
      <c r="D76" s="279" t="s">
        <v>236</v>
      </c>
      <c r="E76" s="44">
        <v>54000</v>
      </c>
      <c r="F76" s="59">
        <f>1225+1225+1225+350+700+2450+4200+1650+2100+1225+3500+1225+1750+875+1225+4750+1050+1225+875+875+1225+2100+1050+525+1225+1050+525</f>
        <v>41400</v>
      </c>
      <c r="G76" s="59">
        <f t="shared" si="7"/>
        <v>12600</v>
      </c>
      <c r="H76" s="59"/>
      <c r="I76" s="59">
        <f t="shared" si="0"/>
        <v>76.666666666666671</v>
      </c>
      <c r="J76" s="1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5">
      <c r="A77" s="29"/>
      <c r="B77" s="30"/>
      <c r="C77" s="30"/>
      <c r="D77" s="285" t="s">
        <v>243</v>
      </c>
      <c r="E77" s="44">
        <v>156000</v>
      </c>
      <c r="F77" s="59">
        <f>4541+6811+11163.4+4964+6325.8+720+230+4940</f>
        <v>39695.200000000004</v>
      </c>
      <c r="G77" s="59">
        <f t="shared" si="7"/>
        <v>116304.79999999999</v>
      </c>
      <c r="H77" s="59"/>
      <c r="I77" s="59">
        <f t="shared" si="0"/>
        <v>25.445641025641027</v>
      </c>
      <c r="J77" s="1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s="277" customFormat="1" x14ac:dyDescent="0.2">
      <c r="A78" s="692" t="s">
        <v>83</v>
      </c>
      <c r="B78" s="692"/>
      <c r="C78" s="692"/>
      <c r="D78" s="692"/>
      <c r="E78" s="11">
        <f>E6+E13+E19+E21+E56+E70</f>
        <v>8000000</v>
      </c>
      <c r="F78" s="66">
        <f>F6+F13+F19+F21+F56+F70</f>
        <v>4667534.97</v>
      </c>
      <c r="G78" s="66">
        <f>G6+G13+G19+G21+G56+G70</f>
        <v>3327465.03</v>
      </c>
      <c r="H78" s="66">
        <f>H6+H13+H19+H21+H56+H70</f>
        <v>5000</v>
      </c>
      <c r="I78" s="66">
        <f t="shared" si="0"/>
        <v>58.344187124999998</v>
      </c>
      <c r="J78" s="21"/>
    </row>
    <row r="79" spans="1:26" x14ac:dyDescent="0.2">
      <c r="J79" s="3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</sheetData>
  <mergeCells count="24">
    <mergeCell ref="K37:O37"/>
    <mergeCell ref="C38:D38"/>
    <mergeCell ref="A78:D78"/>
    <mergeCell ref="E4:E5"/>
    <mergeCell ref="B7:D7"/>
    <mergeCell ref="A13:D13"/>
    <mergeCell ref="C14:D14"/>
    <mergeCell ref="A19:D19"/>
    <mergeCell ref="C20:D20"/>
    <mergeCell ref="C37:D37"/>
    <mergeCell ref="B30:D30"/>
    <mergeCell ref="A6:D6"/>
    <mergeCell ref="A21:D21"/>
    <mergeCell ref="C22:D22"/>
    <mergeCell ref="C71:D71"/>
    <mergeCell ref="A56:D56"/>
    <mergeCell ref="A70:D70"/>
    <mergeCell ref="C57:D57"/>
    <mergeCell ref="G3:J3"/>
    <mergeCell ref="A1:J1"/>
    <mergeCell ref="A2:J2"/>
    <mergeCell ref="A4:D5"/>
    <mergeCell ref="F4:I4"/>
    <mergeCell ref="J4:J5"/>
  </mergeCells>
  <pageMargins left="0.19685039370078741" right="0.19685039370078741" top="0.27559055118110237" bottom="0.19685039370078741" header="0.31496062992125984" footer="0.19685039370078741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G6"/>
  <sheetViews>
    <sheetView workbookViewId="0">
      <selection activeCell="C20" sqref="C20"/>
    </sheetView>
  </sheetViews>
  <sheetFormatPr defaultRowHeight="14.25" x14ac:dyDescent="0.2"/>
  <cols>
    <col min="2" max="2" width="53.625" customWidth="1"/>
    <col min="3" max="3" width="11.875" customWidth="1"/>
    <col min="4" max="4" width="11.125" customWidth="1"/>
    <col min="5" max="5" width="6.25" customWidth="1"/>
    <col min="6" max="6" width="11.375" customWidth="1"/>
    <col min="7" max="7" width="13.25" customWidth="1"/>
  </cols>
  <sheetData>
    <row r="1" spans="1:7" ht="23.25" x14ac:dyDescent="0.2">
      <c r="A1" s="709" t="s">
        <v>331</v>
      </c>
      <c r="B1" s="710"/>
      <c r="C1" s="710"/>
      <c r="D1" s="710"/>
      <c r="E1" s="710"/>
      <c r="F1" s="710"/>
      <c r="G1" s="710"/>
    </row>
    <row r="3" spans="1:7" ht="21" x14ac:dyDescent="0.2">
      <c r="A3" s="711" t="s">
        <v>332</v>
      </c>
      <c r="B3" s="711" t="s">
        <v>0</v>
      </c>
      <c r="C3" s="711" t="s">
        <v>1</v>
      </c>
      <c r="D3" s="711" t="s">
        <v>333</v>
      </c>
      <c r="E3" s="711"/>
      <c r="F3" s="711"/>
      <c r="G3" s="711" t="s">
        <v>334</v>
      </c>
    </row>
    <row r="4" spans="1:7" ht="21" x14ac:dyDescent="0.2">
      <c r="A4" s="711"/>
      <c r="B4" s="711"/>
      <c r="C4" s="711"/>
      <c r="D4" s="91" t="s">
        <v>335</v>
      </c>
      <c r="E4" s="91" t="s">
        <v>187</v>
      </c>
      <c r="F4" s="91" t="s">
        <v>336</v>
      </c>
      <c r="G4" s="711"/>
    </row>
    <row r="5" spans="1:7" ht="53.25" customHeight="1" x14ac:dyDescent="0.35">
      <c r="A5" s="92">
        <v>1</v>
      </c>
      <c r="B5" s="93" t="s">
        <v>337</v>
      </c>
      <c r="C5" s="94">
        <v>250000</v>
      </c>
      <c r="D5" s="95">
        <f>15000+15000+42083+15000+15000+15000+15000+15000+15000</f>
        <v>162083</v>
      </c>
      <c r="E5" s="96">
        <f>D5*100/C5</f>
        <v>64.833200000000005</v>
      </c>
      <c r="F5" s="97">
        <f>C5-D5</f>
        <v>87917</v>
      </c>
      <c r="G5" s="98" t="s">
        <v>338</v>
      </c>
    </row>
    <row r="6" spans="1:7" ht="21" x14ac:dyDescent="0.35">
      <c r="A6" s="99"/>
      <c r="B6" s="99" t="s">
        <v>3</v>
      </c>
      <c r="C6" s="100">
        <f>C5</f>
        <v>250000</v>
      </c>
      <c r="D6" s="100">
        <f>D5</f>
        <v>162083</v>
      </c>
      <c r="E6" s="101">
        <f>E5</f>
        <v>64.833200000000005</v>
      </c>
      <c r="F6" s="100">
        <f>F5</f>
        <v>87917</v>
      </c>
      <c r="G6" s="102"/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80" zoomScaleNormal="80" workbookViewId="0">
      <selection activeCell="S72" sqref="S72"/>
    </sheetView>
  </sheetViews>
  <sheetFormatPr defaultRowHeight="21" x14ac:dyDescent="0.2"/>
  <cols>
    <col min="1" max="1" width="4" style="3" customWidth="1"/>
    <col min="2" max="2" width="1.25" style="3" customWidth="1"/>
    <col min="3" max="3" width="1.125" style="3" customWidth="1"/>
    <col min="4" max="4" width="1.625" style="3" customWidth="1"/>
    <col min="5" max="5" width="40.5" style="3" customWidth="1"/>
    <col min="6" max="6" width="14.875" style="3" customWidth="1"/>
    <col min="7" max="7" width="13.75" style="34" customWidth="1"/>
    <col min="8" max="8" width="11.125" style="34" customWidth="1"/>
    <col min="9" max="9" width="10.875" style="34" customWidth="1"/>
    <col min="10" max="10" width="14.25" style="34" customWidth="1"/>
    <col min="11" max="11" width="12.5" style="34" customWidth="1"/>
    <col min="12" max="12" width="13.375" style="34" customWidth="1"/>
    <col min="13" max="13" width="12.5" style="34" customWidth="1"/>
    <col min="14" max="14" width="12.625" style="34" hidden="1" customWidth="1"/>
    <col min="15" max="15" width="15" style="34" hidden="1" customWidth="1"/>
    <col min="16" max="16" width="7.875" style="34" hidden="1" customWidth="1"/>
    <col min="17" max="17" width="11.125" style="34" hidden="1" customWidth="1"/>
    <col min="18" max="18" width="14.25" style="34" customWidth="1"/>
    <col min="19" max="19" width="11.625" style="3" customWidth="1"/>
    <col min="20" max="16384" width="9" style="3"/>
  </cols>
  <sheetData>
    <row r="1" spans="1:19" ht="23.25" x14ac:dyDescent="0.2">
      <c r="A1" s="116"/>
      <c r="B1" s="725" t="s">
        <v>357</v>
      </c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116"/>
    </row>
    <row r="2" spans="1:19" x14ac:dyDescent="0.2">
      <c r="A2" s="717" t="s">
        <v>358</v>
      </c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116"/>
    </row>
    <row r="3" spans="1:19" s="5" customFormat="1" ht="61.5" customHeight="1" x14ac:dyDescent="0.2">
      <c r="A3" s="119" t="s">
        <v>89</v>
      </c>
      <c r="B3" s="726" t="s">
        <v>359</v>
      </c>
      <c r="C3" s="726"/>
      <c r="D3" s="726"/>
      <c r="E3" s="726"/>
      <c r="F3" s="117" t="s">
        <v>363</v>
      </c>
      <c r="G3" s="117" t="s">
        <v>4</v>
      </c>
      <c r="H3" s="117" t="s">
        <v>5</v>
      </c>
      <c r="I3" s="117" t="s">
        <v>179</v>
      </c>
      <c r="J3" s="117" t="s">
        <v>180</v>
      </c>
      <c r="K3" s="117" t="s">
        <v>252</v>
      </c>
      <c r="L3" s="117" t="s">
        <v>181</v>
      </c>
      <c r="M3" s="117" t="s">
        <v>182</v>
      </c>
      <c r="N3" s="117" t="s">
        <v>185</v>
      </c>
      <c r="O3" s="117" t="s">
        <v>186</v>
      </c>
      <c r="P3" s="117" t="s">
        <v>187</v>
      </c>
      <c r="Q3" s="117"/>
      <c r="R3" s="118" t="s">
        <v>360</v>
      </c>
      <c r="S3" s="119" t="s">
        <v>361</v>
      </c>
    </row>
    <row r="4" spans="1:19" s="106" customFormat="1" ht="46.5" customHeight="1" x14ac:dyDescent="0.2">
      <c r="A4" s="128"/>
      <c r="B4" s="719" t="s">
        <v>7</v>
      </c>
      <c r="C4" s="719"/>
      <c r="D4" s="719"/>
      <c r="E4" s="719"/>
      <c r="F4" s="121"/>
      <c r="G4" s="121"/>
      <c r="H4" s="121"/>
      <c r="I4" s="121"/>
      <c r="J4" s="121"/>
      <c r="K4" s="121"/>
      <c r="L4" s="121"/>
      <c r="M4" s="121"/>
      <c r="N4" s="122"/>
      <c r="O4" s="122"/>
      <c r="P4" s="123"/>
      <c r="Q4" s="123"/>
      <c r="R4" s="121"/>
      <c r="S4" s="120"/>
    </row>
    <row r="5" spans="1:19" s="106" customFormat="1" ht="39.75" customHeight="1" x14ac:dyDescent="0.2">
      <c r="A5" s="128"/>
      <c r="B5" s="124"/>
      <c r="C5" s="720" t="s">
        <v>133</v>
      </c>
      <c r="D5" s="720"/>
      <c r="E5" s="721"/>
      <c r="F5" s="125"/>
      <c r="G5" s="125"/>
      <c r="H5" s="125"/>
      <c r="I5" s="125"/>
      <c r="J5" s="125"/>
      <c r="K5" s="125"/>
      <c r="L5" s="125"/>
      <c r="M5" s="125"/>
      <c r="N5" s="126" t="e">
        <f>#REF!+#REF!</f>
        <v>#REF!</v>
      </c>
      <c r="O5" s="126" t="e">
        <f>#REF!+#REF!</f>
        <v>#REF!</v>
      </c>
      <c r="P5" s="126" t="e">
        <f>N5*100/F5</f>
        <v>#REF!</v>
      </c>
      <c r="Q5" s="126"/>
      <c r="R5" s="127"/>
      <c r="S5" s="120"/>
    </row>
    <row r="6" spans="1:19" ht="60.75" x14ac:dyDescent="0.2">
      <c r="A6" s="128"/>
      <c r="B6" s="129"/>
      <c r="C6" s="130"/>
      <c r="D6" s="130"/>
      <c r="E6" s="131" t="s">
        <v>340</v>
      </c>
      <c r="F6" s="132"/>
      <c r="G6" s="132"/>
      <c r="H6" s="132"/>
      <c r="I6" s="133"/>
      <c r="J6" s="132"/>
      <c r="K6" s="132"/>
      <c r="L6" s="132"/>
      <c r="M6" s="132"/>
      <c r="N6" s="134" t="e">
        <f>#REF!+#REF!</f>
        <v>#REF!</v>
      </c>
      <c r="O6" s="134" t="e">
        <f>#REF!+#REF!</f>
        <v>#REF!</v>
      </c>
      <c r="P6" s="135" t="e">
        <f>N6*100/F6</f>
        <v>#REF!</v>
      </c>
      <c r="Q6" s="135"/>
      <c r="R6" s="136"/>
      <c r="S6" s="128"/>
    </row>
    <row r="7" spans="1:19" ht="45" customHeight="1" x14ac:dyDescent="0.2">
      <c r="A7" s="128">
        <v>1</v>
      </c>
      <c r="B7" s="129"/>
      <c r="C7" s="130"/>
      <c r="D7" s="130"/>
      <c r="E7" s="131" t="s">
        <v>15</v>
      </c>
      <c r="F7" s="132">
        <f>G7</f>
        <v>3331600</v>
      </c>
      <c r="G7" s="137">
        <v>3331600</v>
      </c>
      <c r="H7" s="132">
        <v>0</v>
      </c>
      <c r="I7" s="138" t="s">
        <v>348</v>
      </c>
      <c r="J7" s="132"/>
      <c r="K7" s="132"/>
      <c r="L7" s="132"/>
      <c r="M7" s="132"/>
      <c r="N7" s="134"/>
      <c r="O7" s="134">
        <f>G7-N7</f>
        <v>3331600</v>
      </c>
      <c r="P7" s="134">
        <v>0</v>
      </c>
      <c r="Q7" s="134"/>
      <c r="R7" s="136" t="s">
        <v>14</v>
      </c>
      <c r="S7" s="128"/>
    </row>
    <row r="8" spans="1:19" ht="45" customHeight="1" x14ac:dyDescent="0.2">
      <c r="A8" s="128">
        <v>2</v>
      </c>
      <c r="B8" s="129"/>
      <c r="C8" s="130"/>
      <c r="D8" s="130"/>
      <c r="E8" s="131" t="s">
        <v>289</v>
      </c>
      <c r="F8" s="132">
        <f>G8</f>
        <v>2000000</v>
      </c>
      <c r="G8" s="137">
        <v>2000000</v>
      </c>
      <c r="H8" s="132">
        <v>0</v>
      </c>
      <c r="I8" s="132" t="s">
        <v>364</v>
      </c>
      <c r="J8" s="132"/>
      <c r="K8" s="132"/>
      <c r="L8" s="132"/>
      <c r="M8" s="132"/>
      <c r="N8" s="134"/>
      <c r="O8" s="134">
        <f>G8-N8</f>
        <v>2000000</v>
      </c>
      <c r="P8" s="134">
        <v>0</v>
      </c>
      <c r="Q8" s="134"/>
      <c r="R8" s="136" t="s">
        <v>14</v>
      </c>
      <c r="S8" s="128"/>
    </row>
    <row r="9" spans="1:19" ht="81" x14ac:dyDescent="0.2">
      <c r="A9" s="128"/>
      <c r="B9" s="129"/>
      <c r="C9" s="130"/>
      <c r="D9" s="130"/>
      <c r="E9" s="131" t="s">
        <v>291</v>
      </c>
      <c r="F9" s="132"/>
      <c r="G9" s="132"/>
      <c r="H9" s="139"/>
      <c r="I9" s="133"/>
      <c r="J9" s="139"/>
      <c r="K9" s="139"/>
      <c r="L9" s="139"/>
      <c r="M9" s="139"/>
      <c r="N9" s="135" t="e">
        <f>#REF!+#REF!</f>
        <v>#REF!</v>
      </c>
      <c r="O9" s="135" t="e">
        <f>#REF!+#REF!</f>
        <v>#REF!</v>
      </c>
      <c r="P9" s="135" t="e">
        <f>N9*100/F9</f>
        <v>#REF!</v>
      </c>
      <c r="Q9" s="135"/>
      <c r="R9" s="136"/>
      <c r="S9" s="128"/>
    </row>
    <row r="10" spans="1:19" ht="40.5" hidden="1" x14ac:dyDescent="0.2">
      <c r="A10" s="128"/>
      <c r="B10" s="140"/>
      <c r="C10" s="141"/>
      <c r="D10" s="141"/>
      <c r="E10" s="142" t="s">
        <v>269</v>
      </c>
      <c r="F10" s="143"/>
      <c r="G10" s="143"/>
      <c r="H10" s="144">
        <v>1400</v>
      </c>
      <c r="I10" s="145" t="s">
        <v>268</v>
      </c>
      <c r="J10" s="144"/>
      <c r="K10" s="144"/>
      <c r="L10" s="144"/>
      <c r="M10" s="144"/>
      <c r="N10" s="146"/>
      <c r="O10" s="146"/>
      <c r="P10" s="146"/>
      <c r="Q10" s="147">
        <v>1400</v>
      </c>
      <c r="R10" s="148" t="s">
        <v>21</v>
      </c>
      <c r="S10" s="128"/>
    </row>
    <row r="11" spans="1:19" ht="40.5" hidden="1" x14ac:dyDescent="0.2">
      <c r="A11" s="128"/>
      <c r="B11" s="140"/>
      <c r="C11" s="141"/>
      <c r="D11" s="141"/>
      <c r="E11" s="142" t="s">
        <v>272</v>
      </c>
      <c r="F11" s="143"/>
      <c r="G11" s="143"/>
      <c r="H11" s="144">
        <v>5670</v>
      </c>
      <c r="I11" s="145" t="s">
        <v>268</v>
      </c>
      <c r="J11" s="144"/>
      <c r="K11" s="144"/>
      <c r="L11" s="144"/>
      <c r="M11" s="144"/>
      <c r="N11" s="146"/>
      <c r="O11" s="146"/>
      <c r="P11" s="146"/>
      <c r="Q11" s="147">
        <v>5670</v>
      </c>
      <c r="R11" s="148" t="s">
        <v>21</v>
      </c>
      <c r="S11" s="128"/>
    </row>
    <row r="12" spans="1:19" ht="35.25" hidden="1" customHeight="1" x14ac:dyDescent="0.2">
      <c r="A12" s="128"/>
      <c r="B12" s="140"/>
      <c r="C12" s="141"/>
      <c r="D12" s="141"/>
      <c r="E12" s="142" t="s">
        <v>273</v>
      </c>
      <c r="F12" s="143"/>
      <c r="G12" s="143"/>
      <c r="H12" s="144">
        <v>9000</v>
      </c>
      <c r="I12" s="145" t="s">
        <v>268</v>
      </c>
      <c r="J12" s="144"/>
      <c r="K12" s="144"/>
      <c r="L12" s="144"/>
      <c r="M12" s="144"/>
      <c r="N12" s="146"/>
      <c r="O12" s="146"/>
      <c r="P12" s="146"/>
      <c r="Q12" s="147">
        <v>9000</v>
      </c>
      <c r="R12" s="148" t="s">
        <v>21</v>
      </c>
      <c r="S12" s="128"/>
    </row>
    <row r="13" spans="1:19" ht="40.5" hidden="1" x14ac:dyDescent="0.2">
      <c r="A13" s="128"/>
      <c r="B13" s="140"/>
      <c r="C13" s="141"/>
      <c r="D13" s="141"/>
      <c r="E13" s="142" t="s">
        <v>274</v>
      </c>
      <c r="F13" s="143"/>
      <c r="G13" s="143"/>
      <c r="H13" s="144">
        <v>105250</v>
      </c>
      <c r="I13" s="145" t="s">
        <v>268</v>
      </c>
      <c r="J13" s="144"/>
      <c r="K13" s="144"/>
      <c r="L13" s="144"/>
      <c r="M13" s="144"/>
      <c r="N13" s="146"/>
      <c r="O13" s="146"/>
      <c r="P13" s="146"/>
      <c r="Q13" s="147">
        <v>105250</v>
      </c>
      <c r="R13" s="148" t="s">
        <v>275</v>
      </c>
      <c r="S13" s="128"/>
    </row>
    <row r="14" spans="1:19" ht="29.25" customHeight="1" x14ac:dyDescent="0.2">
      <c r="A14" s="128">
        <v>3</v>
      </c>
      <c r="B14" s="129"/>
      <c r="C14" s="130"/>
      <c r="D14" s="130"/>
      <c r="E14" s="131" t="s">
        <v>16</v>
      </c>
      <c r="F14" s="149">
        <f>G14</f>
        <v>341500</v>
      </c>
      <c r="G14" s="150">
        <v>341500</v>
      </c>
      <c r="H14" s="151">
        <v>0</v>
      </c>
      <c r="I14" s="152" t="s">
        <v>344</v>
      </c>
      <c r="J14" s="151"/>
      <c r="K14" s="151"/>
      <c r="L14" s="151"/>
      <c r="M14" s="151"/>
      <c r="N14" s="135"/>
      <c r="O14" s="135">
        <f>G14-N14</f>
        <v>341500</v>
      </c>
      <c r="P14" s="135">
        <v>0</v>
      </c>
      <c r="Q14" s="135"/>
      <c r="R14" s="136" t="s">
        <v>39</v>
      </c>
      <c r="S14" s="128"/>
    </row>
    <row r="15" spans="1:19" x14ac:dyDescent="0.2">
      <c r="A15" s="128">
        <v>4</v>
      </c>
      <c r="B15" s="129"/>
      <c r="C15" s="130"/>
      <c r="D15" s="130"/>
      <c r="E15" s="131" t="s">
        <v>17</v>
      </c>
      <c r="F15" s="149">
        <f>G15</f>
        <v>147000</v>
      </c>
      <c r="G15" s="150">
        <v>147000</v>
      </c>
      <c r="H15" s="151">
        <v>0</v>
      </c>
      <c r="I15" s="152" t="s">
        <v>344</v>
      </c>
      <c r="J15" s="151"/>
      <c r="K15" s="151"/>
      <c r="L15" s="151"/>
      <c r="M15" s="151"/>
      <c r="N15" s="135"/>
      <c r="O15" s="135">
        <f>G15-N15</f>
        <v>147000</v>
      </c>
      <c r="P15" s="135">
        <v>0</v>
      </c>
      <c r="Q15" s="135"/>
      <c r="R15" s="136" t="s">
        <v>39</v>
      </c>
      <c r="S15" s="128"/>
    </row>
    <row r="16" spans="1:19" ht="80.25" customHeight="1" x14ac:dyDescent="0.2">
      <c r="A16" s="128">
        <v>5</v>
      </c>
      <c r="B16" s="129"/>
      <c r="C16" s="130"/>
      <c r="D16" s="130"/>
      <c r="E16" s="131" t="s">
        <v>18</v>
      </c>
      <c r="F16" s="149">
        <f>G16</f>
        <v>594000</v>
      </c>
      <c r="G16" s="150">
        <v>594000</v>
      </c>
      <c r="H16" s="151">
        <v>0</v>
      </c>
      <c r="I16" s="152" t="s">
        <v>345</v>
      </c>
      <c r="J16" s="151"/>
      <c r="K16" s="151"/>
      <c r="L16" s="151"/>
      <c r="M16" s="151"/>
      <c r="N16" s="135"/>
      <c r="O16" s="135">
        <f>G16-N16</f>
        <v>594000</v>
      </c>
      <c r="P16" s="135">
        <v>0</v>
      </c>
      <c r="Q16" s="135"/>
      <c r="R16" s="153" t="s">
        <v>25</v>
      </c>
      <c r="S16" s="128"/>
    </row>
    <row r="17" spans="1:19" ht="40.5" x14ac:dyDescent="0.2">
      <c r="A17" s="128">
        <v>6</v>
      </c>
      <c r="B17" s="154"/>
      <c r="C17" s="155"/>
      <c r="D17" s="155"/>
      <c r="E17" s="156" t="s">
        <v>19</v>
      </c>
      <c r="F17" s="157">
        <f>G17</f>
        <v>396000</v>
      </c>
      <c r="G17" s="158">
        <v>396000</v>
      </c>
      <c r="H17" s="159">
        <v>0</v>
      </c>
      <c r="I17" s="160" t="s">
        <v>346</v>
      </c>
      <c r="J17" s="159"/>
      <c r="K17" s="159"/>
      <c r="L17" s="159"/>
      <c r="M17" s="159"/>
      <c r="N17" s="161"/>
      <c r="O17" s="161">
        <f>G17-N17</f>
        <v>396000</v>
      </c>
      <c r="P17" s="161">
        <v>0</v>
      </c>
      <c r="Q17" s="161"/>
      <c r="R17" s="162" t="s">
        <v>25</v>
      </c>
      <c r="S17" s="128"/>
    </row>
    <row r="18" spans="1:19" ht="40.5" x14ac:dyDescent="0.2">
      <c r="A18" s="128">
        <v>7</v>
      </c>
      <c r="B18" s="154"/>
      <c r="C18" s="155"/>
      <c r="D18" s="155"/>
      <c r="E18" s="156" t="s">
        <v>20</v>
      </c>
      <c r="F18" s="157">
        <f>G18</f>
        <v>450000</v>
      </c>
      <c r="G18" s="158">
        <v>450000</v>
      </c>
      <c r="H18" s="159">
        <v>0</v>
      </c>
      <c r="I18" s="160" t="s">
        <v>347</v>
      </c>
      <c r="J18" s="159"/>
      <c r="K18" s="159"/>
      <c r="L18" s="159"/>
      <c r="M18" s="159"/>
      <c r="N18" s="161"/>
      <c r="O18" s="161">
        <f>G18-N18</f>
        <v>450000</v>
      </c>
      <c r="P18" s="161">
        <v>0</v>
      </c>
      <c r="Q18" s="161"/>
      <c r="R18" s="136" t="s">
        <v>39</v>
      </c>
      <c r="S18" s="128"/>
    </row>
    <row r="19" spans="1:19" s="106" customFormat="1" ht="25.5" customHeight="1" x14ac:dyDescent="0.2">
      <c r="A19" s="128"/>
      <c r="B19" s="124"/>
      <c r="C19" s="720" t="s">
        <v>145</v>
      </c>
      <c r="D19" s="720"/>
      <c r="E19" s="721"/>
      <c r="F19" s="163"/>
      <c r="G19" s="125"/>
      <c r="H19" s="125"/>
      <c r="I19" s="125"/>
      <c r="J19" s="125"/>
      <c r="K19" s="125"/>
      <c r="L19" s="125"/>
      <c r="M19" s="125"/>
      <c r="N19" s="126" t="e">
        <f>N20+N24+N32</f>
        <v>#REF!</v>
      </c>
      <c r="O19" s="164" t="e">
        <f>O20+O24+O32</f>
        <v>#REF!</v>
      </c>
      <c r="P19" s="164" t="e">
        <f t="shared" ref="P19:P25" si="0">N19*100/L19</f>
        <v>#REF!</v>
      </c>
      <c r="Q19" s="164"/>
      <c r="R19" s="127"/>
      <c r="S19" s="120"/>
    </row>
    <row r="20" spans="1:19" s="106" customFormat="1" x14ac:dyDescent="0.2">
      <c r="A20" s="128"/>
      <c r="B20" s="165"/>
      <c r="C20" s="166"/>
      <c r="D20" s="712" t="s">
        <v>146</v>
      </c>
      <c r="E20" s="713"/>
      <c r="F20" s="163"/>
      <c r="G20" s="163"/>
      <c r="H20" s="163"/>
      <c r="I20" s="163"/>
      <c r="J20" s="163"/>
      <c r="K20" s="163"/>
      <c r="L20" s="163"/>
      <c r="M20" s="163"/>
      <c r="N20" s="164" t="e">
        <f>#REF!+N21+N22+N23</f>
        <v>#REF!</v>
      </c>
      <c r="O20" s="164" t="e">
        <f>#REF!+O21+O22+O23</f>
        <v>#REF!</v>
      </c>
      <c r="P20" s="164" t="e">
        <f t="shared" si="0"/>
        <v>#REF!</v>
      </c>
      <c r="Q20" s="164"/>
      <c r="R20" s="127"/>
      <c r="S20" s="120"/>
    </row>
    <row r="21" spans="1:19" s="106" customFormat="1" ht="60.75" x14ac:dyDescent="0.2">
      <c r="A21" s="128">
        <v>8</v>
      </c>
      <c r="B21" s="165"/>
      <c r="C21" s="166"/>
      <c r="D21" s="171"/>
      <c r="E21" s="131" t="s">
        <v>261</v>
      </c>
      <c r="F21" s="169">
        <f>G21</f>
        <v>4684400</v>
      </c>
      <c r="G21" s="132">
        <v>4684400</v>
      </c>
      <c r="H21" s="139">
        <v>0</v>
      </c>
      <c r="I21" s="172" t="s">
        <v>362</v>
      </c>
      <c r="J21" s="172" t="s">
        <v>306</v>
      </c>
      <c r="K21" s="172" t="s">
        <v>307</v>
      </c>
      <c r="L21" s="139">
        <v>4275000</v>
      </c>
      <c r="M21" s="139">
        <f>G21-L21</f>
        <v>409400</v>
      </c>
      <c r="N21" s="135"/>
      <c r="O21" s="161">
        <f>L21-N21</f>
        <v>4275000</v>
      </c>
      <c r="P21" s="161">
        <f t="shared" si="0"/>
        <v>0</v>
      </c>
      <c r="Q21" s="161"/>
      <c r="R21" s="136" t="s">
        <v>25</v>
      </c>
      <c r="S21" s="120"/>
    </row>
    <row r="22" spans="1:19" ht="60.75" x14ac:dyDescent="0.2">
      <c r="A22" s="128">
        <v>9</v>
      </c>
      <c r="B22" s="129"/>
      <c r="C22" s="130"/>
      <c r="D22" s="130"/>
      <c r="E22" s="173" t="s">
        <v>262</v>
      </c>
      <c r="F22" s="169">
        <f>G22</f>
        <v>2426300</v>
      </c>
      <c r="G22" s="132">
        <f>3381000-954700</f>
        <v>2426300</v>
      </c>
      <c r="H22" s="170">
        <v>0</v>
      </c>
      <c r="I22" s="172" t="s">
        <v>362</v>
      </c>
      <c r="J22" s="172" t="s">
        <v>308</v>
      </c>
      <c r="K22" s="174" t="s">
        <v>309</v>
      </c>
      <c r="L22" s="170">
        <v>2129000</v>
      </c>
      <c r="M22" s="139">
        <f>G22-L22</f>
        <v>297300</v>
      </c>
      <c r="N22" s="161"/>
      <c r="O22" s="161">
        <f>L22-N22</f>
        <v>2129000</v>
      </c>
      <c r="P22" s="161">
        <f t="shared" si="0"/>
        <v>0</v>
      </c>
      <c r="Q22" s="161"/>
      <c r="R22" s="127" t="s">
        <v>24</v>
      </c>
      <c r="S22" s="128"/>
    </row>
    <row r="23" spans="1:19" ht="60.75" x14ac:dyDescent="0.2">
      <c r="A23" s="128">
        <v>10</v>
      </c>
      <c r="B23" s="129"/>
      <c r="C23" s="130"/>
      <c r="D23" s="130"/>
      <c r="E23" s="173" t="s">
        <v>263</v>
      </c>
      <c r="F23" s="169">
        <f>G23</f>
        <v>2476500</v>
      </c>
      <c r="G23" s="132">
        <v>2476500</v>
      </c>
      <c r="H23" s="139">
        <v>0</v>
      </c>
      <c r="I23" s="172" t="s">
        <v>362</v>
      </c>
      <c r="J23" s="172" t="s">
        <v>310</v>
      </c>
      <c r="K23" s="172" t="s">
        <v>311</v>
      </c>
      <c r="L23" s="139">
        <v>2377000</v>
      </c>
      <c r="M23" s="139">
        <f>G23-L23</f>
        <v>99500</v>
      </c>
      <c r="N23" s="135"/>
      <c r="O23" s="161">
        <f>L23-N23</f>
        <v>2377000</v>
      </c>
      <c r="P23" s="161">
        <f t="shared" si="0"/>
        <v>0</v>
      </c>
      <c r="Q23" s="161"/>
      <c r="R23" s="127" t="s">
        <v>27</v>
      </c>
      <c r="S23" s="128"/>
    </row>
    <row r="24" spans="1:19" s="106" customFormat="1" ht="42.75" customHeight="1" x14ac:dyDescent="0.2">
      <c r="A24" s="128"/>
      <c r="B24" s="165"/>
      <c r="C24" s="166"/>
      <c r="D24" s="712" t="s">
        <v>147</v>
      </c>
      <c r="E24" s="713"/>
      <c r="F24" s="163"/>
      <c r="G24" s="163"/>
      <c r="H24" s="163"/>
      <c r="I24" s="163"/>
      <c r="J24" s="163"/>
      <c r="K24" s="163"/>
      <c r="L24" s="163"/>
      <c r="M24" s="163"/>
      <c r="N24" s="164">
        <f>N25+N26+N27+N28+N29+N30+N31</f>
        <v>0</v>
      </c>
      <c r="O24" s="164">
        <f>O25+O26+O27+O28+O29+O30+O31</f>
        <v>18571000</v>
      </c>
      <c r="P24" s="164" t="e">
        <f t="shared" si="0"/>
        <v>#DIV/0!</v>
      </c>
      <c r="Q24" s="164"/>
      <c r="R24" s="127"/>
      <c r="S24" s="120"/>
    </row>
    <row r="25" spans="1:19" ht="72.75" customHeight="1" x14ac:dyDescent="0.2">
      <c r="A25" s="128">
        <v>11</v>
      </c>
      <c r="B25" s="154"/>
      <c r="C25" s="155"/>
      <c r="D25" s="155"/>
      <c r="E25" s="156" t="s">
        <v>372</v>
      </c>
      <c r="F25" s="132">
        <f>G25</f>
        <v>2401000</v>
      </c>
      <c r="G25" s="132">
        <v>2401000</v>
      </c>
      <c r="H25" s="139">
        <v>0</v>
      </c>
      <c r="I25" s="172" t="s">
        <v>362</v>
      </c>
      <c r="J25" s="172" t="s">
        <v>319</v>
      </c>
      <c r="K25" s="174" t="s">
        <v>313</v>
      </c>
      <c r="L25" s="139">
        <v>2390000</v>
      </c>
      <c r="M25" s="139">
        <f t="shared" ref="M25:M31" si="1">G25-L25</f>
        <v>11000</v>
      </c>
      <c r="N25" s="135"/>
      <c r="O25" s="135">
        <f>G25-N25</f>
        <v>2401000</v>
      </c>
      <c r="P25" s="135">
        <f t="shared" si="0"/>
        <v>0</v>
      </c>
      <c r="Q25" s="135"/>
      <c r="R25" s="175" t="s">
        <v>28</v>
      </c>
      <c r="S25" s="128"/>
    </row>
    <row r="26" spans="1:19" ht="60.75" x14ac:dyDescent="0.2">
      <c r="A26" s="128">
        <v>12</v>
      </c>
      <c r="B26" s="129"/>
      <c r="C26" s="130"/>
      <c r="D26" s="130"/>
      <c r="E26" s="173" t="s">
        <v>264</v>
      </c>
      <c r="F26" s="132">
        <f t="shared" ref="F26:F31" si="2">G26</f>
        <v>2303000</v>
      </c>
      <c r="G26" s="132">
        <v>2303000</v>
      </c>
      <c r="H26" s="170">
        <v>0</v>
      </c>
      <c r="I26" s="172" t="s">
        <v>362</v>
      </c>
      <c r="J26" s="172" t="s">
        <v>312</v>
      </c>
      <c r="K26" s="174" t="s">
        <v>313</v>
      </c>
      <c r="L26" s="170">
        <v>2303000</v>
      </c>
      <c r="M26" s="139">
        <f t="shared" si="1"/>
        <v>0</v>
      </c>
      <c r="N26" s="161"/>
      <c r="O26" s="135">
        <f t="shared" ref="O26:O31" si="3">G26-N26</f>
        <v>2303000</v>
      </c>
      <c r="P26" s="135">
        <f t="shared" ref="P26:P31" si="4">N26*100/L26</f>
        <v>0</v>
      </c>
      <c r="Q26" s="161"/>
      <c r="R26" s="176" t="s">
        <v>26</v>
      </c>
      <c r="S26" s="128"/>
    </row>
    <row r="27" spans="1:19" ht="64.5" customHeight="1" x14ac:dyDescent="0.2">
      <c r="A27" s="128">
        <v>13</v>
      </c>
      <c r="B27" s="129"/>
      <c r="C27" s="130"/>
      <c r="D27" s="130"/>
      <c r="E27" s="177" t="s">
        <v>373</v>
      </c>
      <c r="F27" s="132">
        <f t="shared" si="2"/>
        <v>2401000</v>
      </c>
      <c r="G27" s="132">
        <v>2401000</v>
      </c>
      <c r="H27" s="139">
        <v>0</v>
      </c>
      <c r="I27" s="172" t="s">
        <v>362</v>
      </c>
      <c r="J27" s="172" t="s">
        <v>319</v>
      </c>
      <c r="K27" s="174" t="s">
        <v>313</v>
      </c>
      <c r="L27" s="139">
        <v>2390000</v>
      </c>
      <c r="M27" s="139">
        <f t="shared" si="1"/>
        <v>11000</v>
      </c>
      <c r="N27" s="135"/>
      <c r="O27" s="135">
        <f t="shared" si="3"/>
        <v>2401000</v>
      </c>
      <c r="P27" s="135">
        <f t="shared" si="4"/>
        <v>0</v>
      </c>
      <c r="Q27" s="135"/>
      <c r="R27" s="175" t="s">
        <v>28</v>
      </c>
      <c r="S27" s="128"/>
    </row>
    <row r="28" spans="1:19" ht="66.75" customHeight="1" x14ac:dyDescent="0.2">
      <c r="A28" s="128">
        <v>14</v>
      </c>
      <c r="B28" s="129"/>
      <c r="C28" s="130"/>
      <c r="D28" s="130"/>
      <c r="E28" s="177" t="s">
        <v>374</v>
      </c>
      <c r="F28" s="132">
        <f t="shared" si="2"/>
        <v>2401000</v>
      </c>
      <c r="G28" s="132">
        <v>2401000</v>
      </c>
      <c r="H28" s="139">
        <v>0</v>
      </c>
      <c r="I28" s="172" t="s">
        <v>362</v>
      </c>
      <c r="J28" s="172" t="s">
        <v>319</v>
      </c>
      <c r="K28" s="172" t="s">
        <v>313</v>
      </c>
      <c r="L28" s="139">
        <v>2390000</v>
      </c>
      <c r="M28" s="139">
        <f t="shared" si="1"/>
        <v>11000</v>
      </c>
      <c r="N28" s="135"/>
      <c r="O28" s="135">
        <f t="shared" si="3"/>
        <v>2401000</v>
      </c>
      <c r="P28" s="135">
        <f t="shared" si="4"/>
        <v>0</v>
      </c>
      <c r="Q28" s="135"/>
      <c r="R28" s="175" t="s">
        <v>28</v>
      </c>
      <c r="S28" s="128"/>
    </row>
    <row r="29" spans="1:19" ht="63.75" customHeight="1" x14ac:dyDescent="0.2">
      <c r="A29" s="128">
        <v>15</v>
      </c>
      <c r="B29" s="129"/>
      <c r="C29" s="130"/>
      <c r="D29" s="130"/>
      <c r="E29" s="173" t="s">
        <v>265</v>
      </c>
      <c r="F29" s="132">
        <f t="shared" si="2"/>
        <v>3724000</v>
      </c>
      <c r="G29" s="132">
        <v>3724000</v>
      </c>
      <c r="H29" s="170">
        <v>0</v>
      </c>
      <c r="I29" s="172" t="s">
        <v>362</v>
      </c>
      <c r="J29" s="172" t="s">
        <v>314</v>
      </c>
      <c r="K29" s="174" t="s">
        <v>313</v>
      </c>
      <c r="L29" s="170">
        <v>2790000</v>
      </c>
      <c r="M29" s="139">
        <f t="shared" si="1"/>
        <v>934000</v>
      </c>
      <c r="N29" s="161"/>
      <c r="O29" s="135">
        <f t="shared" si="3"/>
        <v>3724000</v>
      </c>
      <c r="P29" s="135">
        <f t="shared" si="4"/>
        <v>0</v>
      </c>
      <c r="Q29" s="161"/>
      <c r="R29" s="176" t="s">
        <v>25</v>
      </c>
      <c r="S29" s="128"/>
    </row>
    <row r="30" spans="1:19" ht="63.75" customHeight="1" x14ac:dyDescent="0.2">
      <c r="A30" s="128">
        <v>16</v>
      </c>
      <c r="B30" s="129"/>
      <c r="C30" s="130"/>
      <c r="D30" s="130"/>
      <c r="E30" s="177" t="s">
        <v>375</v>
      </c>
      <c r="F30" s="132">
        <f t="shared" si="2"/>
        <v>2401000</v>
      </c>
      <c r="G30" s="132">
        <v>2401000</v>
      </c>
      <c r="H30" s="139">
        <v>0</v>
      </c>
      <c r="I30" s="172" t="s">
        <v>362</v>
      </c>
      <c r="J30" s="172" t="s">
        <v>319</v>
      </c>
      <c r="K30" s="172" t="s">
        <v>313</v>
      </c>
      <c r="L30" s="139">
        <v>2390000</v>
      </c>
      <c r="M30" s="139">
        <f t="shared" si="1"/>
        <v>11000</v>
      </c>
      <c r="N30" s="135"/>
      <c r="O30" s="135">
        <f t="shared" si="3"/>
        <v>2401000</v>
      </c>
      <c r="P30" s="135">
        <f t="shared" si="4"/>
        <v>0</v>
      </c>
      <c r="Q30" s="135"/>
      <c r="R30" s="175" t="s">
        <v>28</v>
      </c>
      <c r="S30" s="128"/>
    </row>
    <row r="31" spans="1:19" ht="112.5" customHeight="1" x14ac:dyDescent="0.2">
      <c r="A31" s="128">
        <v>17</v>
      </c>
      <c r="B31" s="129"/>
      <c r="C31" s="130"/>
      <c r="D31" s="130"/>
      <c r="E31" s="177" t="s">
        <v>189</v>
      </c>
      <c r="F31" s="132">
        <f t="shared" si="2"/>
        <v>2940000</v>
      </c>
      <c r="G31" s="169">
        <v>2940000</v>
      </c>
      <c r="H31" s="170">
        <v>0</v>
      </c>
      <c r="I31" s="172" t="s">
        <v>362</v>
      </c>
      <c r="J31" s="172" t="s">
        <v>315</v>
      </c>
      <c r="K31" s="174" t="s">
        <v>316</v>
      </c>
      <c r="L31" s="170">
        <v>2835000</v>
      </c>
      <c r="M31" s="139">
        <f t="shared" si="1"/>
        <v>105000</v>
      </c>
      <c r="N31" s="161"/>
      <c r="O31" s="135">
        <f t="shared" si="3"/>
        <v>2940000</v>
      </c>
      <c r="P31" s="135">
        <f t="shared" si="4"/>
        <v>0</v>
      </c>
      <c r="Q31" s="135"/>
      <c r="R31" s="175" t="s">
        <v>27</v>
      </c>
      <c r="S31" s="128"/>
    </row>
    <row r="32" spans="1:19" s="106" customFormat="1" ht="24" customHeight="1" x14ac:dyDescent="0.2">
      <c r="A32" s="128"/>
      <c r="B32" s="165"/>
      <c r="C32" s="166"/>
      <c r="D32" s="712" t="s">
        <v>148</v>
      </c>
      <c r="E32" s="713"/>
      <c r="F32" s="163"/>
      <c r="G32" s="163"/>
      <c r="H32" s="163"/>
      <c r="I32" s="163"/>
      <c r="J32" s="163"/>
      <c r="K32" s="163"/>
      <c r="L32" s="163"/>
      <c r="M32" s="163"/>
      <c r="N32" s="164">
        <f>N33+N34+N35+N36</f>
        <v>0</v>
      </c>
      <c r="O32" s="164">
        <f>O33+O34+O35+O36+O37</f>
        <v>8235000</v>
      </c>
      <c r="P32" s="164" t="e">
        <f>N32*100/L32</f>
        <v>#DIV/0!</v>
      </c>
      <c r="Q32" s="164"/>
      <c r="R32" s="127"/>
      <c r="S32" s="120"/>
    </row>
    <row r="33" spans="1:19" ht="50.25" customHeight="1" x14ac:dyDescent="0.2">
      <c r="A33" s="128">
        <v>18</v>
      </c>
      <c r="B33" s="129"/>
      <c r="C33" s="130"/>
      <c r="D33" s="130"/>
      <c r="E33" s="131" t="s">
        <v>190</v>
      </c>
      <c r="F33" s="132">
        <f>G33</f>
        <v>852600</v>
      </c>
      <c r="G33" s="132">
        <v>852600</v>
      </c>
      <c r="H33" s="139">
        <v>0</v>
      </c>
      <c r="I33" s="172" t="s">
        <v>362</v>
      </c>
      <c r="J33" s="172" t="s">
        <v>317</v>
      </c>
      <c r="K33" s="172" t="s">
        <v>318</v>
      </c>
      <c r="L33" s="139">
        <v>850800</v>
      </c>
      <c r="M33" s="139">
        <f>G33-L33</f>
        <v>1800</v>
      </c>
      <c r="N33" s="135"/>
      <c r="O33" s="135">
        <f>G33-N33</f>
        <v>852600</v>
      </c>
      <c r="P33" s="135">
        <f>N33*100/L33</f>
        <v>0</v>
      </c>
      <c r="Q33" s="135"/>
      <c r="R33" s="127" t="s">
        <v>24</v>
      </c>
      <c r="S33" s="128"/>
    </row>
    <row r="34" spans="1:19" ht="44.25" customHeight="1" x14ac:dyDescent="0.2">
      <c r="A34" s="128">
        <v>19</v>
      </c>
      <c r="B34" s="129"/>
      <c r="C34" s="130"/>
      <c r="D34" s="130"/>
      <c r="E34" s="173" t="s">
        <v>191</v>
      </c>
      <c r="F34" s="132">
        <f>G34</f>
        <v>3780400</v>
      </c>
      <c r="G34" s="132">
        <v>3780400</v>
      </c>
      <c r="H34" s="139">
        <v>0</v>
      </c>
      <c r="I34" s="172" t="s">
        <v>362</v>
      </c>
      <c r="J34" s="172" t="s">
        <v>320</v>
      </c>
      <c r="K34" s="172" t="s">
        <v>321</v>
      </c>
      <c r="L34" s="139">
        <v>1885000</v>
      </c>
      <c r="M34" s="139">
        <f>G34-L34</f>
        <v>1895400</v>
      </c>
      <c r="N34" s="135"/>
      <c r="O34" s="135">
        <f>G34-N34</f>
        <v>3780400</v>
      </c>
      <c r="P34" s="135">
        <f>N34*100/L34</f>
        <v>0</v>
      </c>
      <c r="Q34" s="135"/>
      <c r="R34" s="127" t="s">
        <v>24</v>
      </c>
      <c r="S34" s="128"/>
    </row>
    <row r="35" spans="1:19" ht="60.75" x14ac:dyDescent="0.2">
      <c r="A35" s="128">
        <v>20</v>
      </c>
      <c r="B35" s="140"/>
      <c r="C35" s="141"/>
      <c r="D35" s="141"/>
      <c r="E35" s="178" t="s">
        <v>192</v>
      </c>
      <c r="F35" s="132">
        <f>G35</f>
        <v>1654200</v>
      </c>
      <c r="G35" s="132">
        <v>1654200</v>
      </c>
      <c r="H35" s="170">
        <v>0</v>
      </c>
      <c r="I35" s="172" t="s">
        <v>362</v>
      </c>
      <c r="J35" s="172" t="s">
        <v>341</v>
      </c>
      <c r="K35" s="172" t="s">
        <v>318</v>
      </c>
      <c r="L35" s="170">
        <v>1450000</v>
      </c>
      <c r="M35" s="170">
        <f>G35-L35</f>
        <v>204200</v>
      </c>
      <c r="N35" s="161"/>
      <c r="O35" s="135">
        <f>G35-N35</f>
        <v>1654200</v>
      </c>
      <c r="P35" s="135">
        <f>N35*100/L35</f>
        <v>0</v>
      </c>
      <c r="Q35" s="161"/>
      <c r="R35" s="179" t="s">
        <v>28</v>
      </c>
      <c r="S35" s="128"/>
    </row>
    <row r="36" spans="1:19" ht="60.75" x14ac:dyDescent="0.2">
      <c r="A36" s="128">
        <v>21</v>
      </c>
      <c r="B36" s="129"/>
      <c r="C36" s="130"/>
      <c r="D36" s="130"/>
      <c r="E36" s="173" t="s">
        <v>193</v>
      </c>
      <c r="F36" s="132">
        <f>G36</f>
        <v>1211300</v>
      </c>
      <c r="G36" s="132">
        <v>1211300</v>
      </c>
      <c r="H36" s="170">
        <v>0</v>
      </c>
      <c r="I36" s="172" t="s">
        <v>362</v>
      </c>
      <c r="J36" s="172" t="s">
        <v>341</v>
      </c>
      <c r="K36" s="172" t="s">
        <v>318</v>
      </c>
      <c r="L36" s="170">
        <v>1210300</v>
      </c>
      <c r="M36" s="170">
        <f>G36-L36</f>
        <v>1000</v>
      </c>
      <c r="N36" s="161"/>
      <c r="O36" s="135">
        <f>G36-N36</f>
        <v>1211300</v>
      </c>
      <c r="P36" s="135">
        <f>N36*100/L36</f>
        <v>0</v>
      </c>
      <c r="Q36" s="135"/>
      <c r="R36" s="127" t="s">
        <v>28</v>
      </c>
      <c r="S36" s="128"/>
    </row>
    <row r="37" spans="1:19" ht="40.5" x14ac:dyDescent="0.2">
      <c r="A37" s="128">
        <v>22</v>
      </c>
      <c r="B37" s="129"/>
      <c r="C37" s="130"/>
      <c r="D37" s="130"/>
      <c r="E37" s="173" t="s">
        <v>194</v>
      </c>
      <c r="F37" s="132">
        <f>G37</f>
        <v>736500</v>
      </c>
      <c r="G37" s="180">
        <v>736500</v>
      </c>
      <c r="H37" s="181">
        <v>0</v>
      </c>
      <c r="I37" s="181"/>
      <c r="J37" s="182"/>
      <c r="K37" s="182"/>
      <c r="L37" s="182"/>
      <c r="M37" s="182"/>
      <c r="N37" s="183"/>
      <c r="O37" s="134">
        <f>G37-N37</f>
        <v>736500</v>
      </c>
      <c r="P37" s="135">
        <v>0</v>
      </c>
      <c r="Q37" s="135"/>
      <c r="R37" s="127" t="s">
        <v>27</v>
      </c>
      <c r="S37" s="128"/>
    </row>
    <row r="38" spans="1:19" s="106" customFormat="1" x14ac:dyDescent="0.2">
      <c r="A38" s="128"/>
      <c r="B38" s="165"/>
      <c r="C38" s="712" t="s">
        <v>149</v>
      </c>
      <c r="D38" s="712"/>
      <c r="E38" s="713"/>
      <c r="F38" s="125"/>
      <c r="G38" s="125"/>
      <c r="H38" s="125"/>
      <c r="I38" s="125"/>
      <c r="J38" s="125"/>
      <c r="K38" s="125"/>
      <c r="L38" s="125"/>
      <c r="M38" s="125"/>
      <c r="N38" s="126">
        <f>N39</f>
        <v>0</v>
      </c>
      <c r="O38" s="126">
        <f>O39</f>
        <v>51430000</v>
      </c>
      <c r="P38" s="126">
        <v>0</v>
      </c>
      <c r="Q38" s="126"/>
      <c r="R38" s="127"/>
      <c r="S38" s="120"/>
    </row>
    <row r="39" spans="1:19" s="106" customFormat="1" x14ac:dyDescent="0.2">
      <c r="A39" s="128"/>
      <c r="B39" s="165"/>
      <c r="C39" s="166"/>
      <c r="D39" s="184" t="s">
        <v>150</v>
      </c>
      <c r="E39" s="185"/>
      <c r="F39" s="163"/>
      <c r="G39" s="163"/>
      <c r="H39" s="163"/>
      <c r="I39" s="163"/>
      <c r="J39" s="163"/>
      <c r="K39" s="163"/>
      <c r="L39" s="163"/>
      <c r="M39" s="163"/>
      <c r="N39" s="164">
        <f>N40+N41+N42+N43+N44</f>
        <v>0</v>
      </c>
      <c r="O39" s="164">
        <f>O40+O41+O42+O43+O44</f>
        <v>51430000</v>
      </c>
      <c r="P39" s="164">
        <v>0</v>
      </c>
      <c r="Q39" s="164"/>
      <c r="R39" s="127"/>
      <c r="S39" s="120"/>
    </row>
    <row r="40" spans="1:19" ht="81" x14ac:dyDescent="0.2">
      <c r="A40" s="128">
        <v>23</v>
      </c>
      <c r="B40" s="154"/>
      <c r="C40" s="155"/>
      <c r="D40" s="155"/>
      <c r="E40" s="156" t="s">
        <v>195</v>
      </c>
      <c r="F40" s="169">
        <f>G40</f>
        <v>9900000</v>
      </c>
      <c r="G40" s="169">
        <v>9900000</v>
      </c>
      <c r="H40" s="139">
        <v>0</v>
      </c>
      <c r="I40" s="174" t="s">
        <v>365</v>
      </c>
      <c r="J40" s="170"/>
      <c r="K40" s="170"/>
      <c r="L40" s="170"/>
      <c r="M40" s="170"/>
      <c r="N40" s="161"/>
      <c r="O40" s="161">
        <f>G40-N40</f>
        <v>9900000</v>
      </c>
      <c r="P40" s="161">
        <v>0</v>
      </c>
      <c r="Q40" s="161"/>
      <c r="R40" s="186" t="s">
        <v>29</v>
      </c>
      <c r="S40" s="128"/>
    </row>
    <row r="41" spans="1:19" ht="60.75" x14ac:dyDescent="0.2">
      <c r="A41" s="128">
        <v>24</v>
      </c>
      <c r="B41" s="129"/>
      <c r="C41" s="130"/>
      <c r="D41" s="130"/>
      <c r="E41" s="131" t="s">
        <v>196</v>
      </c>
      <c r="F41" s="169">
        <f>G41</f>
        <v>11880000</v>
      </c>
      <c r="G41" s="132">
        <v>11880000</v>
      </c>
      <c r="H41" s="139">
        <v>0</v>
      </c>
      <c r="I41" s="174" t="s">
        <v>324</v>
      </c>
      <c r="J41" s="139"/>
      <c r="K41" s="139"/>
      <c r="L41" s="139"/>
      <c r="M41" s="139"/>
      <c r="N41" s="135"/>
      <c r="O41" s="161">
        <f>G41-N41</f>
        <v>11880000</v>
      </c>
      <c r="P41" s="161">
        <v>0</v>
      </c>
      <c r="Q41" s="161"/>
      <c r="R41" s="136" t="s">
        <v>29</v>
      </c>
      <c r="S41" s="128"/>
    </row>
    <row r="42" spans="1:19" ht="60.75" x14ac:dyDescent="0.2">
      <c r="A42" s="128">
        <v>25</v>
      </c>
      <c r="B42" s="129"/>
      <c r="C42" s="130"/>
      <c r="D42" s="130"/>
      <c r="E42" s="131" t="s">
        <v>197</v>
      </c>
      <c r="F42" s="169">
        <f>G42</f>
        <v>9900000</v>
      </c>
      <c r="G42" s="132">
        <v>9900000</v>
      </c>
      <c r="H42" s="139">
        <v>0</v>
      </c>
      <c r="I42" s="174" t="s">
        <v>324</v>
      </c>
      <c r="J42" s="170"/>
      <c r="K42" s="170"/>
      <c r="L42" s="170"/>
      <c r="M42" s="170"/>
      <c r="N42" s="161"/>
      <c r="O42" s="161">
        <f>G42-N42</f>
        <v>9900000</v>
      </c>
      <c r="P42" s="161">
        <v>0</v>
      </c>
      <c r="Q42" s="161"/>
      <c r="R42" s="186" t="s">
        <v>29</v>
      </c>
      <c r="S42" s="128"/>
    </row>
    <row r="43" spans="1:19" ht="60.75" x14ac:dyDescent="0.2">
      <c r="A43" s="128">
        <v>26</v>
      </c>
      <c r="B43" s="129"/>
      <c r="C43" s="130"/>
      <c r="D43" s="130"/>
      <c r="E43" s="131" t="s">
        <v>151</v>
      </c>
      <c r="F43" s="169">
        <f>G43</f>
        <v>4900000</v>
      </c>
      <c r="G43" s="132">
        <v>4900000</v>
      </c>
      <c r="H43" s="139">
        <v>0</v>
      </c>
      <c r="I43" s="174" t="s">
        <v>366</v>
      </c>
      <c r="J43" s="139"/>
      <c r="K43" s="172" t="s">
        <v>367</v>
      </c>
      <c r="L43" s="139"/>
      <c r="M43" s="139"/>
      <c r="N43" s="135"/>
      <c r="O43" s="161">
        <f>G43-N43</f>
        <v>4900000</v>
      </c>
      <c r="P43" s="161">
        <v>0</v>
      </c>
      <c r="Q43" s="161"/>
      <c r="R43" s="136" t="s">
        <v>29</v>
      </c>
      <c r="S43" s="128"/>
    </row>
    <row r="44" spans="1:19" ht="60.75" x14ac:dyDescent="0.2">
      <c r="A44" s="128">
        <v>27</v>
      </c>
      <c r="B44" s="129"/>
      <c r="C44" s="130"/>
      <c r="D44" s="130"/>
      <c r="E44" s="131" t="s">
        <v>198</v>
      </c>
      <c r="F44" s="169">
        <f>G44</f>
        <v>14850000</v>
      </c>
      <c r="G44" s="132">
        <v>14850000</v>
      </c>
      <c r="H44" s="139">
        <v>0</v>
      </c>
      <c r="I44" s="174" t="s">
        <v>324</v>
      </c>
      <c r="J44" s="139"/>
      <c r="K44" s="139"/>
      <c r="L44" s="139"/>
      <c r="M44" s="139"/>
      <c r="N44" s="135"/>
      <c r="O44" s="161">
        <f>G44-N44</f>
        <v>14850000</v>
      </c>
      <c r="P44" s="161">
        <v>0</v>
      </c>
      <c r="Q44" s="161"/>
      <c r="R44" s="136" t="s">
        <v>29</v>
      </c>
      <c r="S44" s="128"/>
    </row>
    <row r="45" spans="1:19" s="106" customFormat="1" ht="30" customHeight="1" x14ac:dyDescent="0.2">
      <c r="A45" s="128"/>
      <c r="B45" s="124"/>
      <c r="C45" s="720" t="s">
        <v>152</v>
      </c>
      <c r="D45" s="720"/>
      <c r="E45" s="721"/>
      <c r="F45" s="125"/>
      <c r="G45" s="125"/>
      <c r="H45" s="125"/>
      <c r="I45" s="125"/>
      <c r="J45" s="125"/>
      <c r="K45" s="125"/>
      <c r="L45" s="125"/>
      <c r="M45" s="125"/>
      <c r="N45" s="126" t="e">
        <f>#REF!+N46+N49</f>
        <v>#REF!</v>
      </c>
      <c r="O45" s="126" t="e">
        <f>#REF!+O46+O49</f>
        <v>#REF!</v>
      </c>
      <c r="P45" s="126" t="e">
        <f>N45*100/F45</f>
        <v>#REF!</v>
      </c>
      <c r="Q45" s="126"/>
      <c r="R45" s="127"/>
      <c r="S45" s="120"/>
    </row>
    <row r="46" spans="1:19" s="106" customFormat="1" ht="44.25" customHeight="1" x14ac:dyDescent="0.2">
      <c r="A46" s="128"/>
      <c r="B46" s="167"/>
      <c r="C46" s="168"/>
      <c r="D46" s="723" t="s">
        <v>154</v>
      </c>
      <c r="E46" s="724"/>
      <c r="F46" s="163"/>
      <c r="G46" s="163"/>
      <c r="H46" s="163"/>
      <c r="I46" s="163"/>
      <c r="J46" s="163"/>
      <c r="K46" s="163"/>
      <c r="L46" s="163"/>
      <c r="M46" s="163"/>
      <c r="N46" s="164" t="e">
        <f>N47+#REF!</f>
        <v>#REF!</v>
      </c>
      <c r="O46" s="164" t="e">
        <f>O47+#REF!</f>
        <v>#REF!</v>
      </c>
      <c r="P46" s="164" t="e">
        <f>N46*100/F46</f>
        <v>#REF!</v>
      </c>
      <c r="Q46" s="164"/>
      <c r="R46" s="127"/>
      <c r="S46" s="120"/>
    </row>
    <row r="47" spans="1:19" s="106" customFormat="1" ht="42" customHeight="1" x14ac:dyDescent="0.2">
      <c r="A47" s="128"/>
      <c r="B47" s="165"/>
      <c r="C47" s="166"/>
      <c r="D47" s="171"/>
      <c r="E47" s="131" t="s">
        <v>156</v>
      </c>
      <c r="F47" s="132"/>
      <c r="G47" s="132"/>
      <c r="H47" s="139"/>
      <c r="I47" s="139"/>
      <c r="J47" s="139"/>
      <c r="K47" s="139"/>
      <c r="L47" s="139"/>
      <c r="M47" s="139"/>
      <c r="N47" s="135" t="e">
        <f>#REF!+N48</f>
        <v>#REF!</v>
      </c>
      <c r="O47" s="135" t="e">
        <f>#REF!+O48</f>
        <v>#REF!</v>
      </c>
      <c r="P47" s="134" t="e">
        <f>N47*100/F47</f>
        <v>#REF!</v>
      </c>
      <c r="Q47" s="134"/>
      <c r="R47" s="187"/>
      <c r="S47" s="120"/>
    </row>
    <row r="48" spans="1:19" s="106" customFormat="1" ht="81" x14ac:dyDescent="0.2">
      <c r="A48" s="128">
        <v>28</v>
      </c>
      <c r="B48" s="154"/>
      <c r="C48" s="155"/>
      <c r="D48" s="155"/>
      <c r="E48" s="188" t="s">
        <v>30</v>
      </c>
      <c r="F48" s="189">
        <f>G48</f>
        <v>3528000</v>
      </c>
      <c r="G48" s="158">
        <v>3528000</v>
      </c>
      <c r="H48" s="159">
        <v>0</v>
      </c>
      <c r="I48" s="160" t="s">
        <v>343</v>
      </c>
      <c r="J48" s="159"/>
      <c r="K48" s="159"/>
      <c r="L48" s="159"/>
      <c r="M48" s="159"/>
      <c r="N48" s="161"/>
      <c r="O48" s="161">
        <f>G48-N48</f>
        <v>3528000</v>
      </c>
      <c r="P48" s="161">
        <v>0</v>
      </c>
      <c r="Q48" s="161"/>
      <c r="R48" s="190" t="s">
        <v>290</v>
      </c>
      <c r="S48" s="120"/>
    </row>
    <row r="49" spans="1:19" s="106" customFormat="1" ht="26.25" customHeight="1" x14ac:dyDescent="0.2">
      <c r="A49" s="128"/>
      <c r="B49" s="165"/>
      <c r="C49" s="166"/>
      <c r="D49" s="712" t="s">
        <v>158</v>
      </c>
      <c r="E49" s="713"/>
      <c r="F49" s="191"/>
      <c r="G49" s="191"/>
      <c r="H49" s="191"/>
      <c r="I49" s="191"/>
      <c r="J49" s="191"/>
      <c r="K49" s="191"/>
      <c r="L49" s="191"/>
      <c r="M49" s="191"/>
      <c r="N49" s="192">
        <f>N50</f>
        <v>0</v>
      </c>
      <c r="O49" s="192">
        <f>O50</f>
        <v>2178000</v>
      </c>
      <c r="P49" s="192">
        <v>0</v>
      </c>
      <c r="Q49" s="192"/>
      <c r="R49" s="127"/>
      <c r="S49" s="120"/>
    </row>
    <row r="50" spans="1:19" s="106" customFormat="1" ht="60.75" x14ac:dyDescent="0.2">
      <c r="A50" s="128">
        <v>29</v>
      </c>
      <c r="B50" s="165"/>
      <c r="C50" s="166"/>
      <c r="D50" s="166"/>
      <c r="E50" s="131" t="s">
        <v>266</v>
      </c>
      <c r="F50" s="132">
        <f>G50</f>
        <v>2178000</v>
      </c>
      <c r="G50" s="132">
        <v>2178000</v>
      </c>
      <c r="H50" s="139">
        <v>0</v>
      </c>
      <c r="I50" s="174" t="s">
        <v>368</v>
      </c>
      <c r="J50" s="139"/>
      <c r="K50" s="139"/>
      <c r="L50" s="139"/>
      <c r="M50" s="139"/>
      <c r="N50" s="135"/>
      <c r="O50" s="135">
        <f>G50-N50</f>
        <v>2178000</v>
      </c>
      <c r="P50" s="135">
        <v>0</v>
      </c>
      <c r="Q50" s="135"/>
      <c r="R50" s="136" t="s">
        <v>31</v>
      </c>
      <c r="S50" s="120"/>
    </row>
    <row r="51" spans="1:19" s="106" customFormat="1" ht="24.75" customHeight="1" x14ac:dyDescent="0.2">
      <c r="A51" s="128"/>
      <c r="B51" s="722" t="s">
        <v>32</v>
      </c>
      <c r="C51" s="722"/>
      <c r="D51" s="722"/>
      <c r="E51" s="722"/>
      <c r="F51" s="125"/>
      <c r="G51" s="125"/>
      <c r="H51" s="125"/>
      <c r="I51" s="125"/>
      <c r="J51" s="125"/>
      <c r="K51" s="125"/>
      <c r="L51" s="125"/>
      <c r="M51" s="125"/>
      <c r="N51" s="126" t="e">
        <f>#REF!+#REF!+N52+N56+#REF!</f>
        <v>#REF!</v>
      </c>
      <c r="O51" s="126" t="e">
        <f>#REF!+#REF!+O52+O56+#REF!</f>
        <v>#REF!</v>
      </c>
      <c r="P51" s="126" t="e">
        <f>N51*100/F51</f>
        <v>#REF!</v>
      </c>
      <c r="Q51" s="126"/>
      <c r="R51" s="179"/>
      <c r="S51" s="120"/>
    </row>
    <row r="52" spans="1:19" s="106" customFormat="1" ht="45.75" customHeight="1" x14ac:dyDescent="0.2">
      <c r="A52" s="128"/>
      <c r="B52" s="124"/>
      <c r="C52" s="720" t="s">
        <v>43</v>
      </c>
      <c r="D52" s="720"/>
      <c r="E52" s="721"/>
      <c r="F52" s="125"/>
      <c r="G52" s="125"/>
      <c r="H52" s="125"/>
      <c r="I52" s="125"/>
      <c r="J52" s="125"/>
      <c r="K52" s="125"/>
      <c r="L52" s="125"/>
      <c r="M52" s="125"/>
      <c r="N52" s="126" t="e">
        <f>N53</f>
        <v>#REF!</v>
      </c>
      <c r="O52" s="126" t="e">
        <f>O53</f>
        <v>#REF!</v>
      </c>
      <c r="P52" s="126" t="e">
        <f>N52*100/F52</f>
        <v>#REF!</v>
      </c>
      <c r="Q52" s="126"/>
      <c r="R52" s="179"/>
      <c r="S52" s="120"/>
    </row>
    <row r="53" spans="1:19" s="106" customFormat="1" ht="45.75" customHeight="1" x14ac:dyDescent="0.2">
      <c r="A53" s="128"/>
      <c r="B53" s="165"/>
      <c r="C53" s="166"/>
      <c r="D53" s="712" t="s">
        <v>44</v>
      </c>
      <c r="E53" s="713"/>
      <c r="F53" s="163"/>
      <c r="G53" s="163"/>
      <c r="H53" s="163"/>
      <c r="I53" s="163"/>
      <c r="J53" s="163"/>
      <c r="K53" s="163"/>
      <c r="L53" s="163"/>
      <c r="M53" s="163"/>
      <c r="N53" s="164" t="e">
        <f>N54+#REF!</f>
        <v>#REF!</v>
      </c>
      <c r="O53" s="164" t="e">
        <f>O54+#REF!</f>
        <v>#REF!</v>
      </c>
      <c r="P53" s="164" t="e">
        <f>N53*100/F53</f>
        <v>#REF!</v>
      </c>
      <c r="Q53" s="164"/>
      <c r="R53" s="127"/>
      <c r="S53" s="120"/>
    </row>
    <row r="54" spans="1:19" s="106" customFormat="1" ht="43.5" customHeight="1" x14ac:dyDescent="0.2">
      <c r="A54" s="128"/>
      <c r="B54" s="165"/>
      <c r="C54" s="166"/>
      <c r="D54" s="166"/>
      <c r="E54" s="131" t="s">
        <v>159</v>
      </c>
      <c r="F54" s="132"/>
      <c r="G54" s="132"/>
      <c r="H54" s="139"/>
      <c r="I54" s="139"/>
      <c r="J54" s="139"/>
      <c r="K54" s="139"/>
      <c r="L54" s="139"/>
      <c r="M54" s="139"/>
      <c r="N54" s="135" t="e">
        <f>#REF!+N55</f>
        <v>#REF!</v>
      </c>
      <c r="O54" s="135" t="e">
        <f>#REF!+O55</f>
        <v>#REF!</v>
      </c>
      <c r="P54" s="135" t="e">
        <f>N54*100/F54</f>
        <v>#REF!</v>
      </c>
      <c r="Q54" s="135"/>
      <c r="R54" s="136"/>
      <c r="S54" s="120"/>
    </row>
    <row r="55" spans="1:19" s="106" customFormat="1" ht="60.75" x14ac:dyDescent="0.2">
      <c r="A55" s="128">
        <v>30</v>
      </c>
      <c r="B55" s="124"/>
      <c r="C55" s="193"/>
      <c r="D55" s="193"/>
      <c r="E55" s="156" t="s">
        <v>45</v>
      </c>
      <c r="F55" s="169">
        <f>G55</f>
        <v>495000</v>
      </c>
      <c r="G55" s="169">
        <v>495000</v>
      </c>
      <c r="H55" s="170">
        <v>0</v>
      </c>
      <c r="I55" s="133" t="s">
        <v>362</v>
      </c>
      <c r="J55" s="172" t="s">
        <v>322</v>
      </c>
      <c r="K55" s="172" t="s">
        <v>323</v>
      </c>
      <c r="L55" s="139">
        <v>495000</v>
      </c>
      <c r="M55" s="170"/>
      <c r="N55" s="161"/>
      <c r="O55" s="161">
        <f>G55-N55</f>
        <v>495000</v>
      </c>
      <c r="P55" s="161">
        <f>N55*100/L55</f>
        <v>0</v>
      </c>
      <c r="Q55" s="161"/>
      <c r="R55" s="136" t="s">
        <v>39</v>
      </c>
      <c r="S55" s="120"/>
    </row>
    <row r="56" spans="1:19" s="106" customFormat="1" ht="23.25" customHeight="1" x14ac:dyDescent="0.2">
      <c r="A56" s="128"/>
      <c r="B56" s="194"/>
      <c r="C56" s="720" t="s">
        <v>46</v>
      </c>
      <c r="D56" s="720"/>
      <c r="E56" s="721"/>
      <c r="F56" s="125"/>
      <c r="G56" s="125"/>
      <c r="H56" s="125"/>
      <c r="I56" s="125"/>
      <c r="J56" s="125"/>
      <c r="K56" s="125"/>
      <c r="L56" s="125"/>
      <c r="M56" s="125"/>
      <c r="N56" s="126" t="e">
        <f>N57</f>
        <v>#REF!</v>
      </c>
      <c r="O56" s="126" t="e">
        <f>O57</f>
        <v>#REF!</v>
      </c>
      <c r="P56" s="126" t="e">
        <f>N56*100/F56</f>
        <v>#REF!</v>
      </c>
      <c r="Q56" s="126"/>
      <c r="R56" s="127"/>
      <c r="S56" s="120"/>
    </row>
    <row r="57" spans="1:19" s="106" customFormat="1" ht="25.5" customHeight="1" x14ac:dyDescent="0.2">
      <c r="A57" s="128"/>
      <c r="B57" s="165"/>
      <c r="C57" s="166"/>
      <c r="D57" s="712" t="s">
        <v>47</v>
      </c>
      <c r="E57" s="713"/>
      <c r="F57" s="163"/>
      <c r="G57" s="163"/>
      <c r="H57" s="163"/>
      <c r="I57" s="163"/>
      <c r="J57" s="163"/>
      <c r="K57" s="163"/>
      <c r="L57" s="163"/>
      <c r="M57" s="163"/>
      <c r="N57" s="164" t="e">
        <f>N58+#REF!+#REF!</f>
        <v>#REF!</v>
      </c>
      <c r="O57" s="164" t="e">
        <f>O58+#REF!+#REF!</f>
        <v>#REF!</v>
      </c>
      <c r="P57" s="164" t="e">
        <f>N57*100/F57</f>
        <v>#REF!</v>
      </c>
      <c r="Q57" s="164"/>
      <c r="R57" s="127"/>
      <c r="S57" s="120"/>
    </row>
    <row r="58" spans="1:19" s="106" customFormat="1" ht="42" customHeight="1" x14ac:dyDescent="0.2">
      <c r="A58" s="128"/>
      <c r="B58" s="167"/>
      <c r="C58" s="168"/>
      <c r="D58" s="168"/>
      <c r="E58" s="195" t="s">
        <v>48</v>
      </c>
      <c r="F58" s="196"/>
      <c r="G58" s="196"/>
      <c r="H58" s="196"/>
      <c r="I58" s="132"/>
      <c r="J58" s="196"/>
      <c r="K58" s="196"/>
      <c r="L58" s="196"/>
      <c r="M58" s="196"/>
      <c r="N58" s="197" t="e">
        <f>#REF!+N59</f>
        <v>#REF!</v>
      </c>
      <c r="O58" s="197" t="e">
        <f>#REF!+O59</f>
        <v>#REF!</v>
      </c>
      <c r="P58" s="198" t="e">
        <f>N58*100/F58</f>
        <v>#REF!</v>
      </c>
      <c r="Q58" s="198"/>
      <c r="R58" s="190"/>
      <c r="S58" s="120"/>
    </row>
    <row r="59" spans="1:19" s="106" customFormat="1" ht="70.5" customHeight="1" x14ac:dyDescent="0.2">
      <c r="A59" s="128">
        <v>31</v>
      </c>
      <c r="B59" s="167"/>
      <c r="C59" s="168"/>
      <c r="D59" s="168"/>
      <c r="E59" s="195" t="s">
        <v>242</v>
      </c>
      <c r="F59" s="196">
        <v>25000</v>
      </c>
      <c r="G59" s="199">
        <v>25000</v>
      </c>
      <c r="H59" s="200"/>
      <c r="I59" s="138" t="s">
        <v>362</v>
      </c>
      <c r="J59" s="172" t="s">
        <v>326</v>
      </c>
      <c r="K59" s="201" t="s">
        <v>325</v>
      </c>
      <c r="L59" s="200">
        <v>25000</v>
      </c>
      <c r="M59" s="200"/>
      <c r="N59" s="198">
        <v>25000</v>
      </c>
      <c r="O59" s="198">
        <f>G59-N59</f>
        <v>0</v>
      </c>
      <c r="P59" s="198">
        <f>N59*100/L59</f>
        <v>100</v>
      </c>
      <c r="Q59" s="198"/>
      <c r="R59" s="190" t="s">
        <v>14</v>
      </c>
      <c r="S59" s="120"/>
    </row>
    <row r="60" spans="1:19" s="106" customFormat="1" ht="24" customHeight="1" x14ac:dyDescent="0.2">
      <c r="A60" s="128"/>
      <c r="B60" s="719" t="s">
        <v>54</v>
      </c>
      <c r="C60" s="719"/>
      <c r="D60" s="719"/>
      <c r="E60" s="719"/>
      <c r="F60" s="163"/>
      <c r="G60" s="163"/>
      <c r="H60" s="163"/>
      <c r="I60" s="163"/>
      <c r="J60" s="163"/>
      <c r="K60" s="163"/>
      <c r="L60" s="163"/>
      <c r="M60" s="163"/>
      <c r="N60" s="164" t="e">
        <f>N61+#REF!+#REF!+#REF!</f>
        <v>#REF!</v>
      </c>
      <c r="O60" s="164" t="e">
        <f>O61+#REF!+#REF!+#REF!</f>
        <v>#REF!</v>
      </c>
      <c r="P60" s="164" t="e">
        <f>N60*100/F60</f>
        <v>#REF!</v>
      </c>
      <c r="Q60" s="164"/>
      <c r="R60" s="127"/>
      <c r="S60" s="120"/>
    </row>
    <row r="61" spans="1:19" s="106" customFormat="1" ht="47.25" customHeight="1" x14ac:dyDescent="0.2">
      <c r="A61" s="128"/>
      <c r="B61" s="124"/>
      <c r="C61" s="720" t="s">
        <v>55</v>
      </c>
      <c r="D61" s="720"/>
      <c r="E61" s="721"/>
      <c r="F61" s="125"/>
      <c r="G61" s="125"/>
      <c r="H61" s="125"/>
      <c r="I61" s="125"/>
      <c r="J61" s="125"/>
      <c r="K61" s="125"/>
      <c r="L61" s="125"/>
      <c r="M61" s="125"/>
      <c r="N61" s="126" t="e">
        <f>N62+N64</f>
        <v>#REF!</v>
      </c>
      <c r="O61" s="126" t="e">
        <f>O62+O64</f>
        <v>#REF!</v>
      </c>
      <c r="P61" s="126">
        <v>0</v>
      </c>
      <c r="Q61" s="126"/>
      <c r="R61" s="127"/>
      <c r="S61" s="120"/>
    </row>
    <row r="62" spans="1:19" s="106" customFormat="1" ht="24" customHeight="1" x14ac:dyDescent="0.2">
      <c r="A62" s="128"/>
      <c r="B62" s="165"/>
      <c r="C62" s="166"/>
      <c r="D62" s="712" t="s">
        <v>56</v>
      </c>
      <c r="E62" s="713"/>
      <c r="F62" s="121"/>
      <c r="G62" s="121"/>
      <c r="H62" s="121"/>
      <c r="I62" s="121"/>
      <c r="J62" s="121"/>
      <c r="K62" s="121"/>
      <c r="L62" s="121"/>
      <c r="M62" s="121"/>
      <c r="N62" s="122">
        <f>N63</f>
        <v>0</v>
      </c>
      <c r="O62" s="122">
        <f>O63</f>
        <v>1980000</v>
      </c>
      <c r="P62" s="122">
        <v>0</v>
      </c>
      <c r="Q62" s="122"/>
      <c r="R62" s="127"/>
      <c r="S62" s="120"/>
    </row>
    <row r="63" spans="1:19" s="106" customFormat="1" ht="60.75" x14ac:dyDescent="0.2">
      <c r="A63" s="128">
        <v>32</v>
      </c>
      <c r="B63" s="165"/>
      <c r="C63" s="166"/>
      <c r="D63" s="171"/>
      <c r="E63" s="131" t="s">
        <v>276</v>
      </c>
      <c r="F63" s="132">
        <f>G63</f>
        <v>1980000</v>
      </c>
      <c r="G63" s="132">
        <v>1980000</v>
      </c>
      <c r="H63" s="170">
        <v>0</v>
      </c>
      <c r="I63" s="133" t="s">
        <v>369</v>
      </c>
      <c r="J63" s="170"/>
      <c r="K63" s="170"/>
      <c r="L63" s="170"/>
      <c r="M63" s="170"/>
      <c r="N63" s="161"/>
      <c r="O63" s="161">
        <f>G63-N63</f>
        <v>1980000</v>
      </c>
      <c r="P63" s="161">
        <v>0</v>
      </c>
      <c r="Q63" s="161"/>
      <c r="R63" s="153" t="s">
        <v>277</v>
      </c>
      <c r="S63" s="120"/>
    </row>
    <row r="64" spans="1:19" s="106" customFormat="1" ht="24.75" customHeight="1" x14ac:dyDescent="0.2">
      <c r="A64" s="128"/>
      <c r="B64" s="165"/>
      <c r="C64" s="166"/>
      <c r="D64" s="712" t="s">
        <v>58</v>
      </c>
      <c r="E64" s="713"/>
      <c r="F64" s="163"/>
      <c r="G64" s="163"/>
      <c r="H64" s="163"/>
      <c r="I64" s="163"/>
      <c r="J64" s="163"/>
      <c r="K64" s="163"/>
      <c r="L64" s="163"/>
      <c r="M64" s="163"/>
      <c r="N64" s="164" t="e">
        <f>#REF!</f>
        <v>#REF!</v>
      </c>
      <c r="O64" s="164" t="e">
        <f>#REF!</f>
        <v>#REF!</v>
      </c>
      <c r="P64" s="164">
        <v>0</v>
      </c>
      <c r="Q64" s="164"/>
      <c r="R64" s="127"/>
      <c r="S64" s="120"/>
    </row>
    <row r="65" spans="1:19" s="106" customFormat="1" ht="40.5" x14ac:dyDescent="0.2">
      <c r="A65" s="128">
        <v>33</v>
      </c>
      <c r="B65" s="165"/>
      <c r="C65" s="166"/>
      <c r="D65" s="202"/>
      <c r="E65" s="203" t="s">
        <v>278</v>
      </c>
      <c r="F65" s="132">
        <f>G65</f>
        <v>1980000</v>
      </c>
      <c r="G65" s="137">
        <v>1980000</v>
      </c>
      <c r="H65" s="132">
        <v>0</v>
      </c>
      <c r="I65" s="204" t="s">
        <v>370</v>
      </c>
      <c r="J65" s="205"/>
      <c r="K65" s="205"/>
      <c r="L65" s="205"/>
      <c r="M65" s="205"/>
      <c r="N65" s="206"/>
      <c r="O65" s="206">
        <f>G65-N65</f>
        <v>1980000</v>
      </c>
      <c r="P65" s="134">
        <v>0</v>
      </c>
      <c r="Q65" s="206"/>
      <c r="R65" s="207" t="s">
        <v>173</v>
      </c>
      <c r="S65" s="120"/>
    </row>
    <row r="66" spans="1:19" s="106" customFormat="1" ht="60.75" x14ac:dyDescent="0.2">
      <c r="A66" s="128">
        <v>34</v>
      </c>
      <c r="B66" s="165"/>
      <c r="C66" s="166"/>
      <c r="D66" s="202"/>
      <c r="E66" s="203" t="s">
        <v>279</v>
      </c>
      <c r="F66" s="132">
        <f>G66</f>
        <v>792000</v>
      </c>
      <c r="G66" s="137">
        <v>792000</v>
      </c>
      <c r="H66" s="132">
        <v>0</v>
      </c>
      <c r="I66" s="204" t="s">
        <v>371</v>
      </c>
      <c r="J66" s="205"/>
      <c r="K66" s="205"/>
      <c r="L66" s="205"/>
      <c r="M66" s="205"/>
      <c r="N66" s="206"/>
      <c r="O66" s="206">
        <f>G66-N66</f>
        <v>792000</v>
      </c>
      <c r="P66" s="134">
        <v>0</v>
      </c>
      <c r="Q66" s="206"/>
      <c r="R66" s="207" t="s">
        <v>24</v>
      </c>
      <c r="S66" s="120"/>
    </row>
    <row r="67" spans="1:19" s="106" customFormat="1" ht="40.5" x14ac:dyDescent="0.2">
      <c r="A67" s="128">
        <v>35</v>
      </c>
      <c r="B67" s="154"/>
      <c r="C67" s="155"/>
      <c r="D67" s="155"/>
      <c r="E67" s="208" t="s">
        <v>59</v>
      </c>
      <c r="F67" s="132">
        <f>G67</f>
        <v>990000</v>
      </c>
      <c r="G67" s="209">
        <v>990000</v>
      </c>
      <c r="H67" s="169">
        <v>0</v>
      </c>
      <c r="I67" s="204" t="s">
        <v>371</v>
      </c>
      <c r="J67" s="210"/>
      <c r="K67" s="210"/>
      <c r="L67" s="210"/>
      <c r="M67" s="210"/>
      <c r="N67" s="211"/>
      <c r="O67" s="212">
        <f>G67-N67</f>
        <v>990000</v>
      </c>
      <c r="P67" s="213">
        <v>0</v>
      </c>
      <c r="Q67" s="134"/>
      <c r="R67" s="214" t="s">
        <v>280</v>
      </c>
      <c r="S67" s="120"/>
    </row>
    <row r="68" spans="1:19" s="106" customFormat="1" ht="27.75" customHeight="1" x14ac:dyDescent="0.2">
      <c r="A68" s="128"/>
      <c r="B68" s="718" t="s">
        <v>350</v>
      </c>
      <c r="C68" s="712"/>
      <c r="D68" s="712"/>
      <c r="E68" s="713"/>
      <c r="F68" s="125"/>
      <c r="G68" s="125"/>
      <c r="H68" s="215"/>
      <c r="I68" s="215"/>
      <c r="J68" s="215"/>
      <c r="K68" s="215"/>
      <c r="L68" s="215"/>
      <c r="M68" s="215"/>
      <c r="N68" s="216">
        <f>N70+N73</f>
        <v>0</v>
      </c>
      <c r="O68" s="216">
        <f>O70+O73</f>
        <v>954700</v>
      </c>
      <c r="P68" s="216"/>
      <c r="Q68" s="216"/>
      <c r="R68" s="179"/>
      <c r="S68" s="120"/>
    </row>
    <row r="69" spans="1:19" s="106" customFormat="1" ht="27.75" customHeight="1" x14ac:dyDescent="0.2">
      <c r="A69" s="128"/>
      <c r="B69" s="217"/>
      <c r="C69" s="712" t="s">
        <v>351</v>
      </c>
      <c r="D69" s="712"/>
      <c r="E69" s="713"/>
      <c r="F69" s="125"/>
      <c r="G69" s="125"/>
      <c r="H69" s="215"/>
      <c r="I69" s="215"/>
      <c r="J69" s="215"/>
      <c r="K69" s="215"/>
      <c r="L69" s="215"/>
      <c r="M69" s="215"/>
      <c r="N69" s="216"/>
      <c r="O69" s="216"/>
      <c r="P69" s="216"/>
      <c r="Q69" s="216"/>
      <c r="R69" s="179"/>
      <c r="S69" s="120"/>
    </row>
    <row r="70" spans="1:19" ht="64.5" customHeight="1" x14ac:dyDescent="0.2">
      <c r="A70" s="128">
        <v>36</v>
      </c>
      <c r="B70" s="218"/>
      <c r="C70" s="714" t="s">
        <v>352</v>
      </c>
      <c r="D70" s="714"/>
      <c r="E70" s="715"/>
      <c r="F70" s="219">
        <f>G70</f>
        <v>468700</v>
      </c>
      <c r="G70" s="219">
        <v>468700</v>
      </c>
      <c r="H70" s="220"/>
      <c r="I70" s="220"/>
      <c r="J70" s="220"/>
      <c r="K70" s="220"/>
      <c r="L70" s="220"/>
      <c r="M70" s="220"/>
      <c r="N70" s="221"/>
      <c r="O70" s="221">
        <f>G70-N70</f>
        <v>468700</v>
      </c>
      <c r="P70" s="221"/>
      <c r="Q70" s="221"/>
      <c r="R70" s="186" t="s">
        <v>25</v>
      </c>
      <c r="S70" s="128"/>
    </row>
    <row r="71" spans="1:19" s="106" customFormat="1" ht="48" customHeight="1" x14ac:dyDescent="0.2">
      <c r="A71" s="128"/>
      <c r="B71" s="217"/>
      <c r="C71" s="712" t="s">
        <v>354</v>
      </c>
      <c r="D71" s="712"/>
      <c r="E71" s="713"/>
      <c r="F71" s="125"/>
      <c r="G71" s="125"/>
      <c r="H71" s="215"/>
      <c r="I71" s="215"/>
      <c r="J71" s="215"/>
      <c r="K71" s="215"/>
      <c r="L71" s="215"/>
      <c r="M71" s="215"/>
      <c r="N71" s="216"/>
      <c r="O71" s="216"/>
      <c r="P71" s="216"/>
      <c r="Q71" s="216"/>
      <c r="R71" s="179"/>
      <c r="S71" s="120"/>
    </row>
    <row r="72" spans="1:19" s="106" customFormat="1" ht="72" customHeight="1" x14ac:dyDescent="0.2">
      <c r="A72" s="128"/>
      <c r="B72" s="217"/>
      <c r="C72" s="714" t="s">
        <v>353</v>
      </c>
      <c r="D72" s="714"/>
      <c r="E72" s="715"/>
      <c r="F72" s="125"/>
      <c r="G72" s="125"/>
      <c r="H72" s="215"/>
      <c r="I72" s="215"/>
      <c r="J72" s="215"/>
      <c r="K72" s="215"/>
      <c r="L72" s="215"/>
      <c r="M72" s="215"/>
      <c r="N72" s="216"/>
      <c r="O72" s="216"/>
      <c r="P72" s="216"/>
      <c r="Q72" s="216"/>
      <c r="R72" s="179"/>
      <c r="S72" s="120"/>
    </row>
    <row r="73" spans="1:19" ht="60.75" x14ac:dyDescent="0.2">
      <c r="A73" s="128">
        <v>37</v>
      </c>
      <c r="B73" s="218"/>
      <c r="C73" s="203"/>
      <c r="D73" s="203"/>
      <c r="E73" s="131" t="s">
        <v>355</v>
      </c>
      <c r="F73" s="219">
        <f>G73</f>
        <v>486000</v>
      </c>
      <c r="G73" s="219">
        <v>486000</v>
      </c>
      <c r="H73" s="220"/>
      <c r="I73" s="220"/>
      <c r="J73" s="220"/>
      <c r="K73" s="220"/>
      <c r="L73" s="220"/>
      <c r="M73" s="220"/>
      <c r="N73" s="221"/>
      <c r="O73" s="221">
        <f>G73-N73</f>
        <v>486000</v>
      </c>
      <c r="P73" s="221"/>
      <c r="Q73" s="222"/>
      <c r="R73" s="186" t="s">
        <v>356</v>
      </c>
      <c r="S73" s="128"/>
    </row>
    <row r="74" spans="1:19" s="106" customFormat="1" x14ac:dyDescent="0.2">
      <c r="A74" s="128"/>
      <c r="B74" s="716" t="s">
        <v>83</v>
      </c>
      <c r="C74" s="716"/>
      <c r="D74" s="716"/>
      <c r="E74" s="716"/>
      <c r="F74" s="163">
        <f>G74</f>
        <v>108006000</v>
      </c>
      <c r="G74" s="163">
        <f>SUM(G4:G73)</f>
        <v>108006000</v>
      </c>
      <c r="H74" s="163"/>
      <c r="I74" s="163"/>
      <c r="J74" s="163"/>
      <c r="K74" s="163"/>
      <c r="L74" s="163">
        <f>SUM(L4:L73)</f>
        <v>32185100</v>
      </c>
      <c r="M74" s="163">
        <f>SUM(M4:M73)</f>
        <v>3991600</v>
      </c>
      <c r="N74" s="164" t="e">
        <f>#REF!+#REF!+#REF!+#REF!+N61+#REF!+N56+N52+#REF!+#REF!+N45+N38+N19+#REF!+N5+#REF!+#REF!</f>
        <v>#REF!</v>
      </c>
      <c r="O74" s="164" t="e">
        <f>#REF!+#REF!+#REF!+#REF!+O61+#REF!+O56+O52+#REF!+#REF!+O45+O38+O19+#REF!+O5+#REF!+#REF!</f>
        <v>#REF!</v>
      </c>
      <c r="P74" s="223" t="e">
        <f>N74*100/F74</f>
        <v>#REF!</v>
      </c>
      <c r="Q74" s="223" t="e">
        <f>#REF!</f>
        <v>#REF!</v>
      </c>
      <c r="R74" s="127"/>
      <c r="S74" s="120"/>
    </row>
  </sheetData>
  <mergeCells count="28">
    <mergeCell ref="B1:R1"/>
    <mergeCell ref="B3:E3"/>
    <mergeCell ref="C19:E19"/>
    <mergeCell ref="D20:E20"/>
    <mergeCell ref="D24:E24"/>
    <mergeCell ref="C5:E5"/>
    <mergeCell ref="B4:E4"/>
    <mergeCell ref="B51:E51"/>
    <mergeCell ref="D32:E32"/>
    <mergeCell ref="C38:E38"/>
    <mergeCell ref="C45:E45"/>
    <mergeCell ref="D46:E46"/>
    <mergeCell ref="C71:E71"/>
    <mergeCell ref="C72:E72"/>
    <mergeCell ref="B74:E74"/>
    <mergeCell ref="A2:R2"/>
    <mergeCell ref="B68:E68"/>
    <mergeCell ref="C69:E69"/>
    <mergeCell ref="C70:E70"/>
    <mergeCell ref="B60:E60"/>
    <mergeCell ref="C61:E61"/>
    <mergeCell ref="D62:E62"/>
    <mergeCell ref="D64:E64"/>
    <mergeCell ref="C52:E52"/>
    <mergeCell ref="D53:E53"/>
    <mergeCell ref="C56:E56"/>
    <mergeCell ref="D57:E57"/>
    <mergeCell ref="D49:E49"/>
  </mergeCells>
  <pageMargins left="0.19685039370078741" right="0.19685039370078741" top="0.39" bottom="0.19685039370078741" header="0.19685039370078741" footer="0.19685039370078741"/>
  <pageSetup paperSize="9" scale="85" orientation="landscape" verticalDpi="0" r:id="rId1"/>
  <headerFooter differentFirst="1">
    <oddHeader>&amp;C&amp;"TH SarabunIT๙,ธรรมดา"&amp;16&amp;P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17"/>
  <sheetViews>
    <sheetView zoomScale="90" zoomScaleNormal="90" workbookViewId="0">
      <selection activeCell="Q7" sqref="Q7"/>
    </sheetView>
  </sheetViews>
  <sheetFormatPr defaultRowHeight="21" x14ac:dyDescent="0.35"/>
  <cols>
    <col min="1" max="1" width="3.5" style="234" customWidth="1"/>
    <col min="2" max="2" width="47" style="234" customWidth="1"/>
    <col min="3" max="3" width="11" style="234" customWidth="1"/>
    <col min="4" max="4" width="9.75" style="234" customWidth="1"/>
    <col min="5" max="5" width="10.75" style="234" customWidth="1"/>
    <col min="6" max="6" width="11.125" style="234" customWidth="1"/>
    <col min="7" max="7" width="10.5" style="234" customWidth="1"/>
    <col min="8" max="8" width="10.625" style="234" customWidth="1"/>
    <col min="9" max="9" width="9.75" style="234" hidden="1" customWidth="1"/>
    <col min="10" max="10" width="7.5" style="234" hidden="1" customWidth="1"/>
    <col min="11" max="11" width="7.25" style="259" hidden="1" customWidth="1"/>
    <col min="12" max="12" width="11.875" style="259" customWidth="1"/>
    <col min="13" max="13" width="10.625" style="259" customWidth="1"/>
    <col min="14" max="14" width="7.25" style="259" customWidth="1"/>
    <col min="15" max="15" width="20" style="234" customWidth="1"/>
    <col min="16" max="16384" width="9" style="234"/>
  </cols>
  <sheetData>
    <row r="1" spans="1:15" x14ac:dyDescent="0.35">
      <c r="A1" s="729" t="s">
        <v>389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</row>
    <row r="2" spans="1:15" x14ac:dyDescent="0.35">
      <c r="A2" s="730" t="s">
        <v>390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</row>
    <row r="3" spans="1:15" x14ac:dyDescent="0.35">
      <c r="A3" s="729" t="s">
        <v>391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</row>
    <row r="4" spans="1:15" x14ac:dyDescent="0.35">
      <c r="K4" s="735" t="s">
        <v>500</v>
      </c>
      <c r="L4" s="735"/>
      <c r="M4" s="735"/>
      <c r="N4" s="735"/>
      <c r="O4" s="735"/>
    </row>
    <row r="5" spans="1:15" ht="63" x14ac:dyDescent="0.35">
      <c r="A5" s="235" t="s">
        <v>89</v>
      </c>
      <c r="B5" s="235" t="s">
        <v>90</v>
      </c>
      <c r="C5" s="236" t="s">
        <v>392</v>
      </c>
      <c r="D5" s="236" t="s">
        <v>179</v>
      </c>
      <c r="E5" s="236" t="s">
        <v>405</v>
      </c>
      <c r="F5" s="236" t="s">
        <v>252</v>
      </c>
      <c r="G5" s="236" t="s">
        <v>406</v>
      </c>
      <c r="H5" s="236" t="s">
        <v>407</v>
      </c>
      <c r="I5" s="236" t="s">
        <v>185</v>
      </c>
      <c r="J5" s="236" t="s">
        <v>186</v>
      </c>
      <c r="K5" s="260" t="s">
        <v>187</v>
      </c>
      <c r="L5" s="260" t="s">
        <v>335</v>
      </c>
      <c r="M5" s="260" t="s">
        <v>336</v>
      </c>
      <c r="N5" s="260" t="s">
        <v>187</v>
      </c>
      <c r="O5" s="236" t="s">
        <v>393</v>
      </c>
    </row>
    <row r="6" spans="1:15" ht="47.25" customHeight="1" x14ac:dyDescent="0.35">
      <c r="A6" s="731">
        <v>1</v>
      </c>
      <c r="B6" s="237" t="s">
        <v>394</v>
      </c>
      <c r="C6" s="238">
        <v>1500000</v>
      </c>
      <c r="D6" s="238"/>
      <c r="E6" s="238"/>
      <c r="F6" s="238"/>
      <c r="G6" s="238"/>
      <c r="H6" s="238"/>
      <c r="I6" s="238"/>
      <c r="J6" s="238"/>
      <c r="K6" s="261"/>
      <c r="L6" s="261"/>
      <c r="M6" s="261"/>
      <c r="N6" s="261"/>
      <c r="O6" s="239"/>
    </row>
    <row r="7" spans="1:15" ht="66.75" customHeight="1" x14ac:dyDescent="0.35">
      <c r="A7" s="732"/>
      <c r="B7" s="240" t="s">
        <v>409</v>
      </c>
      <c r="C7" s="241">
        <v>200000</v>
      </c>
      <c r="D7" s="271" t="s">
        <v>388</v>
      </c>
      <c r="E7" s="270" t="s">
        <v>428</v>
      </c>
      <c r="F7" s="268" t="s">
        <v>432</v>
      </c>
      <c r="G7" s="266">
        <v>200000</v>
      </c>
      <c r="H7" s="241">
        <f>C7-G7</f>
        <v>0</v>
      </c>
      <c r="I7" s="241"/>
      <c r="J7" s="241"/>
      <c r="K7" s="262"/>
      <c r="L7" s="262">
        <v>200000</v>
      </c>
      <c r="M7" s="262">
        <f t="shared" ref="M7:M12" si="0">G7-L7</f>
        <v>0</v>
      </c>
      <c r="N7" s="262">
        <f>L7*100/G7</f>
        <v>100</v>
      </c>
      <c r="O7" s="240" t="s">
        <v>395</v>
      </c>
    </row>
    <row r="8" spans="1:15" ht="63" x14ac:dyDescent="0.35">
      <c r="A8" s="242"/>
      <c r="B8" s="240" t="s">
        <v>427</v>
      </c>
      <c r="C8" s="241">
        <v>259300</v>
      </c>
      <c r="D8" s="258" t="s">
        <v>388</v>
      </c>
      <c r="E8" s="270" t="s">
        <v>429</v>
      </c>
      <c r="F8" s="268" t="s">
        <v>433</v>
      </c>
      <c r="G8" s="266">
        <v>259000</v>
      </c>
      <c r="H8" s="241">
        <f>C8-G8</f>
        <v>300</v>
      </c>
      <c r="I8" s="241">
        <v>259000</v>
      </c>
      <c r="J8" s="241"/>
      <c r="K8" s="262">
        <f>I8*100/G8</f>
        <v>100</v>
      </c>
      <c r="L8" s="262">
        <v>259000</v>
      </c>
      <c r="M8" s="262">
        <f t="shared" si="0"/>
        <v>0</v>
      </c>
      <c r="N8" s="262">
        <f>L8*100/G8</f>
        <v>100</v>
      </c>
      <c r="O8" s="240" t="s">
        <v>396</v>
      </c>
    </row>
    <row r="9" spans="1:15" ht="62.25" customHeight="1" x14ac:dyDescent="0.35">
      <c r="A9" s="242"/>
      <c r="B9" s="243" t="s">
        <v>438</v>
      </c>
      <c r="C9" s="244">
        <v>200000</v>
      </c>
      <c r="D9" s="271" t="s">
        <v>388</v>
      </c>
      <c r="E9" s="270" t="s">
        <v>430</v>
      </c>
      <c r="F9" s="269" t="s">
        <v>434</v>
      </c>
      <c r="G9" s="267">
        <v>200000</v>
      </c>
      <c r="H9" s="241">
        <f>C9-G9</f>
        <v>0</v>
      </c>
      <c r="I9" s="244"/>
      <c r="J9" s="244"/>
      <c r="K9" s="263"/>
      <c r="L9" s="263">
        <v>200000</v>
      </c>
      <c r="M9" s="262">
        <f t="shared" si="0"/>
        <v>0</v>
      </c>
      <c r="N9" s="262">
        <f>L9*100/G9</f>
        <v>100</v>
      </c>
      <c r="O9" s="243" t="s">
        <v>397</v>
      </c>
    </row>
    <row r="10" spans="1:15" ht="63" x14ac:dyDescent="0.35">
      <c r="A10" s="242"/>
      <c r="B10" s="240" t="s">
        <v>408</v>
      </c>
      <c r="C10" s="241">
        <v>300000</v>
      </c>
      <c r="D10" s="271" t="s">
        <v>388</v>
      </c>
      <c r="E10" s="270" t="s">
        <v>431</v>
      </c>
      <c r="F10" s="269" t="s">
        <v>435</v>
      </c>
      <c r="G10" s="267">
        <v>300000</v>
      </c>
      <c r="H10" s="241">
        <f>C10-G10</f>
        <v>0</v>
      </c>
      <c r="I10" s="241"/>
      <c r="J10" s="241"/>
      <c r="K10" s="262"/>
      <c r="L10" s="262">
        <v>300000</v>
      </c>
      <c r="M10" s="262">
        <f t="shared" si="0"/>
        <v>0</v>
      </c>
      <c r="N10" s="262">
        <f>L10*100/G10</f>
        <v>100</v>
      </c>
      <c r="O10" s="240" t="s">
        <v>398</v>
      </c>
    </row>
    <row r="11" spans="1:15" s="248" customFormat="1" ht="63" x14ac:dyDescent="0.35">
      <c r="A11" s="245"/>
      <c r="B11" s="246" t="s">
        <v>437</v>
      </c>
      <c r="C11" s="247">
        <v>299800</v>
      </c>
      <c r="D11" s="269" t="s">
        <v>362</v>
      </c>
      <c r="E11" s="270" t="s">
        <v>465</v>
      </c>
      <c r="F11" s="269" t="s">
        <v>466</v>
      </c>
      <c r="G11" s="267">
        <v>299800</v>
      </c>
      <c r="H11" s="241">
        <v>0</v>
      </c>
      <c r="I11" s="247"/>
      <c r="J11" s="247"/>
      <c r="K11" s="264"/>
      <c r="L11" s="264">
        <v>240967</v>
      </c>
      <c r="M11" s="262">
        <f t="shared" si="0"/>
        <v>58833</v>
      </c>
      <c r="N11" s="262">
        <v>100</v>
      </c>
      <c r="O11" s="246" t="s">
        <v>399</v>
      </c>
    </row>
    <row r="12" spans="1:15" s="251" customFormat="1" ht="63" x14ac:dyDescent="0.2">
      <c r="A12" s="242"/>
      <c r="B12" s="249" t="s">
        <v>436</v>
      </c>
      <c r="C12" s="250">
        <v>240900</v>
      </c>
      <c r="D12" s="271" t="s">
        <v>388</v>
      </c>
      <c r="E12" s="270" t="s">
        <v>444</v>
      </c>
      <c r="F12" s="268" t="s">
        <v>321</v>
      </c>
      <c r="G12" s="266">
        <v>240900</v>
      </c>
      <c r="H12" s="241">
        <f>C12-G12</f>
        <v>0</v>
      </c>
      <c r="I12" s="250"/>
      <c r="J12" s="250"/>
      <c r="K12" s="262"/>
      <c r="L12" s="262">
        <v>240900</v>
      </c>
      <c r="M12" s="262">
        <f t="shared" si="0"/>
        <v>0</v>
      </c>
      <c r="N12" s="262">
        <f>L12*100/G12</f>
        <v>100</v>
      </c>
      <c r="O12" s="240" t="s">
        <v>400</v>
      </c>
    </row>
    <row r="13" spans="1:15" x14ac:dyDescent="0.35">
      <c r="A13" s="733" t="s">
        <v>3</v>
      </c>
      <c r="B13" s="734"/>
      <c r="C13" s="252">
        <f>SUM(C7:C12)</f>
        <v>1500000</v>
      </c>
      <c r="D13" s="252"/>
      <c r="E13" s="252"/>
      <c r="F13" s="252"/>
      <c r="G13" s="252">
        <f t="shared" ref="G13:M13" si="1">SUM(G6:G12)</f>
        <v>1499700</v>
      </c>
      <c r="H13" s="252">
        <f t="shared" si="1"/>
        <v>300</v>
      </c>
      <c r="I13" s="252">
        <f t="shared" si="1"/>
        <v>259000</v>
      </c>
      <c r="J13" s="252">
        <f t="shared" si="1"/>
        <v>0</v>
      </c>
      <c r="K13" s="252">
        <f t="shared" si="1"/>
        <v>100</v>
      </c>
      <c r="L13" s="252">
        <f t="shared" si="1"/>
        <v>1440867</v>
      </c>
      <c r="M13" s="252">
        <f t="shared" si="1"/>
        <v>58833</v>
      </c>
      <c r="N13" s="265">
        <v>100</v>
      </c>
      <c r="O13" s="253"/>
    </row>
    <row r="14" spans="1:15" x14ac:dyDescent="0.35">
      <c r="A14" s="727" t="s">
        <v>401</v>
      </c>
      <c r="B14" s="728"/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</row>
    <row r="15" spans="1:15" x14ac:dyDescent="0.35">
      <c r="A15" s="728" t="s">
        <v>402</v>
      </c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</row>
    <row r="16" spans="1:15" x14ac:dyDescent="0.35">
      <c r="A16" s="727" t="s">
        <v>403</v>
      </c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</row>
    <row r="17" spans="1:15" x14ac:dyDescent="0.35">
      <c r="A17" s="728" t="s">
        <v>404</v>
      </c>
      <c r="B17" s="728"/>
      <c r="C17" s="728"/>
      <c r="D17" s="728"/>
      <c r="E17" s="728"/>
      <c r="F17" s="728"/>
      <c r="G17" s="728"/>
      <c r="H17" s="728"/>
      <c r="I17" s="728"/>
      <c r="J17" s="728"/>
      <c r="K17" s="728"/>
      <c r="L17" s="728"/>
      <c r="M17" s="728"/>
      <c r="N17" s="728"/>
      <c r="O17" s="728"/>
    </row>
  </sheetData>
  <mergeCells count="10">
    <mergeCell ref="A14:O14"/>
    <mergeCell ref="A15:O15"/>
    <mergeCell ref="A16:O16"/>
    <mergeCell ref="A17:O17"/>
    <mergeCell ref="A1:O1"/>
    <mergeCell ref="A2:O2"/>
    <mergeCell ref="A3:O3"/>
    <mergeCell ref="A6:A7"/>
    <mergeCell ref="A13:B13"/>
    <mergeCell ref="K4:O4"/>
  </mergeCells>
  <pageMargins left="0.19685039370078741" right="0.19685039370078741" top="0.27559055118110237" bottom="0.19685039370078741" header="0.31496062992125984" footer="0.19685039370078741"/>
  <pageSetup paperSize="9" scale="8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J15"/>
  <sheetViews>
    <sheetView workbookViewId="0">
      <selection activeCell="J10" sqref="J10"/>
    </sheetView>
  </sheetViews>
  <sheetFormatPr defaultRowHeight="14.25" x14ac:dyDescent="0.2"/>
  <cols>
    <col min="1" max="1" width="3.375" customWidth="1"/>
    <col min="2" max="2" width="45.5" customWidth="1"/>
    <col min="3" max="3" width="13.75" customWidth="1"/>
    <col min="4" max="4" width="13.25" customWidth="1"/>
    <col min="5" max="5" width="11.125" customWidth="1"/>
    <col min="6" max="6" width="15" customWidth="1"/>
    <col min="7" max="8" width="9.875" bestFit="1" customWidth="1"/>
  </cols>
  <sheetData>
    <row r="1" spans="1:10" ht="57" customHeight="1" x14ac:dyDescent="0.35">
      <c r="A1" s="736" t="s">
        <v>496</v>
      </c>
      <c r="B1" s="736"/>
      <c r="C1" s="736"/>
      <c r="D1" s="736"/>
      <c r="E1" s="736"/>
      <c r="F1" s="736"/>
    </row>
    <row r="2" spans="1:10" ht="21" x14ac:dyDescent="0.35">
      <c r="A2" s="295"/>
      <c r="B2" s="295"/>
      <c r="C2" s="295"/>
      <c r="D2" s="295"/>
      <c r="E2" s="295"/>
      <c r="F2" s="295"/>
    </row>
    <row r="3" spans="1:10" ht="15.75" x14ac:dyDescent="0.25">
      <c r="A3" s="737" t="s">
        <v>631</v>
      </c>
      <c r="B3" s="737"/>
      <c r="C3" s="737"/>
      <c r="D3" s="737"/>
      <c r="E3" s="737"/>
      <c r="F3" s="737"/>
    </row>
    <row r="4" spans="1:10" ht="42" x14ac:dyDescent="0.2">
      <c r="A4" s="297" t="s">
        <v>89</v>
      </c>
      <c r="B4" s="298" t="s">
        <v>493</v>
      </c>
      <c r="C4" s="298" t="s">
        <v>494</v>
      </c>
      <c r="D4" s="298" t="s">
        <v>497</v>
      </c>
      <c r="E4" s="298" t="s">
        <v>498</v>
      </c>
      <c r="F4" s="298" t="s">
        <v>334</v>
      </c>
    </row>
    <row r="5" spans="1:10" ht="42" x14ac:dyDescent="0.35">
      <c r="A5" s="299"/>
      <c r="B5" s="300" t="s">
        <v>495</v>
      </c>
      <c r="C5" s="299"/>
      <c r="D5" s="299"/>
      <c r="E5" s="299"/>
      <c r="F5" s="299"/>
    </row>
    <row r="6" spans="1:10" ht="42" x14ac:dyDescent="0.35">
      <c r="A6" s="311">
        <v>1</v>
      </c>
      <c r="B6" s="296" t="s">
        <v>548</v>
      </c>
      <c r="C6" s="301">
        <v>252000</v>
      </c>
      <c r="D6" s="461">
        <v>252000</v>
      </c>
      <c r="E6" s="301">
        <f t="shared" ref="E6:E14" si="0">C6-D6</f>
        <v>0</v>
      </c>
      <c r="F6" s="314" t="s">
        <v>26</v>
      </c>
      <c r="G6" s="315">
        <v>22405</v>
      </c>
    </row>
    <row r="7" spans="1:10" ht="115.5" x14ac:dyDescent="0.35">
      <c r="A7" s="311">
        <v>2</v>
      </c>
      <c r="B7" s="296" t="s">
        <v>549</v>
      </c>
      <c r="C7" s="301">
        <v>120000</v>
      </c>
      <c r="D7" s="312">
        <v>120000</v>
      </c>
      <c r="E7" s="301">
        <f t="shared" si="0"/>
        <v>0</v>
      </c>
      <c r="F7" s="313" t="s">
        <v>27</v>
      </c>
      <c r="G7" s="315">
        <v>22404</v>
      </c>
      <c r="J7" s="519" t="s">
        <v>599</v>
      </c>
    </row>
    <row r="8" spans="1:10" ht="99" x14ac:dyDescent="0.2">
      <c r="A8" s="311">
        <v>3</v>
      </c>
      <c r="B8" s="591" t="s">
        <v>550</v>
      </c>
      <c r="C8" s="262">
        <v>76000</v>
      </c>
      <c r="D8" s="592">
        <v>73720</v>
      </c>
      <c r="E8" s="262">
        <f t="shared" si="0"/>
        <v>2280</v>
      </c>
      <c r="F8" s="593" t="s">
        <v>488</v>
      </c>
      <c r="G8" s="315">
        <v>22405</v>
      </c>
      <c r="H8" s="315">
        <v>22422</v>
      </c>
      <c r="J8" s="519" t="s">
        <v>598</v>
      </c>
    </row>
    <row r="9" spans="1:10" ht="42" x14ac:dyDescent="0.35">
      <c r="A9" s="311">
        <v>4</v>
      </c>
      <c r="B9" s="296" t="s">
        <v>551</v>
      </c>
      <c r="C9" s="301">
        <v>104000</v>
      </c>
      <c r="D9" s="312">
        <v>104000</v>
      </c>
      <c r="E9" s="301">
        <f t="shared" si="0"/>
        <v>0</v>
      </c>
      <c r="F9" s="313" t="s">
        <v>24</v>
      </c>
      <c r="G9" s="315">
        <v>22405</v>
      </c>
    </row>
    <row r="10" spans="1:10" ht="42" x14ac:dyDescent="0.35">
      <c r="A10" s="311">
        <v>5</v>
      </c>
      <c r="B10" s="296" t="s">
        <v>552</v>
      </c>
      <c r="C10" s="301">
        <v>216000</v>
      </c>
      <c r="D10" s="312">
        <v>216000</v>
      </c>
      <c r="E10" s="301">
        <f t="shared" si="0"/>
        <v>0</v>
      </c>
      <c r="F10" s="313" t="s">
        <v>28</v>
      </c>
      <c r="G10" s="315">
        <v>22418</v>
      </c>
    </row>
    <row r="11" spans="1:10" ht="42" x14ac:dyDescent="0.35">
      <c r="A11" s="311">
        <v>6</v>
      </c>
      <c r="B11" s="296" t="s">
        <v>553</v>
      </c>
      <c r="C11" s="301">
        <v>96000</v>
      </c>
      <c r="D11" s="302">
        <v>96000</v>
      </c>
      <c r="E11" s="301">
        <f t="shared" si="0"/>
        <v>0</v>
      </c>
      <c r="F11" s="313" t="s">
        <v>173</v>
      </c>
      <c r="G11" s="315">
        <v>22440</v>
      </c>
    </row>
    <row r="12" spans="1:10" ht="42" x14ac:dyDescent="0.35">
      <c r="A12" s="311">
        <v>7</v>
      </c>
      <c r="B12" s="296" t="s">
        <v>554</v>
      </c>
      <c r="C12" s="301">
        <v>208000</v>
      </c>
      <c r="D12" s="312">
        <v>208000</v>
      </c>
      <c r="E12" s="301">
        <f t="shared" si="0"/>
        <v>0</v>
      </c>
      <c r="F12" s="313" t="s">
        <v>488</v>
      </c>
      <c r="G12" s="315">
        <v>22405</v>
      </c>
    </row>
    <row r="13" spans="1:10" ht="42" x14ac:dyDescent="0.35">
      <c r="A13" s="311"/>
      <c r="B13" s="296" t="s">
        <v>575</v>
      </c>
      <c r="C13" s="301">
        <v>149000</v>
      </c>
      <c r="D13" s="302"/>
      <c r="E13" s="301">
        <f t="shared" si="0"/>
        <v>149000</v>
      </c>
      <c r="F13" s="313" t="s">
        <v>28</v>
      </c>
    </row>
    <row r="14" spans="1:10" ht="42" x14ac:dyDescent="0.35">
      <c r="A14" s="311"/>
      <c r="B14" s="296" t="s">
        <v>576</v>
      </c>
      <c r="C14" s="301">
        <v>145500</v>
      </c>
      <c r="D14" s="302"/>
      <c r="E14" s="301">
        <f t="shared" si="0"/>
        <v>145500</v>
      </c>
      <c r="F14" s="313" t="s">
        <v>28</v>
      </c>
    </row>
    <row r="15" spans="1:10" s="305" customFormat="1" ht="21" x14ac:dyDescent="0.35">
      <c r="A15" s="303"/>
      <c r="B15" s="299" t="s">
        <v>3</v>
      </c>
      <c r="C15" s="304">
        <f>SUM(C6:C14)</f>
        <v>1366500</v>
      </c>
      <c r="D15" s="304">
        <f>SUM(D6:D12)</f>
        <v>1069720</v>
      </c>
      <c r="E15" s="304">
        <f>SUM(E6:E12)</f>
        <v>2280</v>
      </c>
      <c r="F15" s="299"/>
    </row>
  </sheetData>
  <mergeCells count="2">
    <mergeCell ref="A1:F1"/>
    <mergeCell ref="A3:F3"/>
  </mergeCells>
  <pageMargins left="0.19685039370078741" right="0.19685039370078741" top="0.74803149606299213" bottom="0.74803149606299213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>
      <selection activeCell="L10" sqref="L10"/>
    </sheetView>
  </sheetViews>
  <sheetFormatPr defaultRowHeight="21" x14ac:dyDescent="0.35"/>
  <cols>
    <col min="1" max="1" width="4.125" style="518" customWidth="1"/>
    <col min="2" max="2" width="43.25" style="509" customWidth="1"/>
    <col min="3" max="3" width="12.625" style="509" customWidth="1"/>
    <col min="4" max="4" width="10.375" style="509" customWidth="1"/>
    <col min="5" max="5" width="11.5" style="509" customWidth="1"/>
    <col min="6" max="6" width="12.625" style="509" customWidth="1"/>
    <col min="7" max="7" width="11.25" style="509" customWidth="1"/>
    <col min="8" max="8" width="12.125" style="509" customWidth="1"/>
    <col min="9" max="9" width="10.375" style="509" customWidth="1"/>
    <col min="10" max="10" width="6.75" style="509" customWidth="1"/>
    <col min="11" max="11" width="14.625" style="509" customWidth="1"/>
    <col min="12" max="13" width="9" style="509"/>
    <col min="14" max="14" width="10.875" style="509" bestFit="1" customWidth="1"/>
    <col min="15" max="16384" width="9" style="509"/>
  </cols>
  <sheetData>
    <row r="1" spans="1:11" x14ac:dyDescent="0.35">
      <c r="A1" s="746" t="s">
        <v>580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</row>
    <row r="2" spans="1:11" x14ac:dyDescent="0.35">
      <c r="A2" s="746" t="s">
        <v>581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</row>
    <row r="3" spans="1:11" x14ac:dyDescent="0.35">
      <c r="A3" s="746" t="s">
        <v>582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</row>
    <row r="4" spans="1:11" x14ac:dyDescent="0.35">
      <c r="A4" s="746" t="s">
        <v>583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</row>
    <row r="5" spans="1:11" x14ac:dyDescent="0.35">
      <c r="A5" s="745" t="s">
        <v>631</v>
      </c>
      <c r="B5" s="745"/>
      <c r="C5" s="745"/>
      <c r="D5" s="745"/>
      <c r="E5" s="745"/>
      <c r="F5" s="745"/>
      <c r="G5" s="745"/>
      <c r="H5" s="745"/>
      <c r="I5" s="745"/>
      <c r="J5" s="745"/>
      <c r="K5" s="745"/>
    </row>
    <row r="6" spans="1:11" s="510" customFormat="1" ht="23.25" customHeight="1" x14ac:dyDescent="0.2">
      <c r="A6" s="740" t="s">
        <v>89</v>
      </c>
      <c r="B6" s="740" t="s">
        <v>584</v>
      </c>
      <c r="C6" s="678" t="s">
        <v>585</v>
      </c>
      <c r="D6" s="678" t="s">
        <v>590</v>
      </c>
      <c r="E6" s="678" t="s">
        <v>591</v>
      </c>
      <c r="F6" s="678" t="s">
        <v>406</v>
      </c>
      <c r="G6" s="678" t="s">
        <v>182</v>
      </c>
      <c r="H6" s="742" t="s">
        <v>184</v>
      </c>
      <c r="I6" s="743"/>
      <c r="J6" s="744"/>
      <c r="K6" s="678" t="s">
        <v>2</v>
      </c>
    </row>
    <row r="7" spans="1:11" s="510" customFormat="1" ht="42" x14ac:dyDescent="0.2">
      <c r="A7" s="679"/>
      <c r="B7" s="679"/>
      <c r="C7" s="741"/>
      <c r="D7" s="741"/>
      <c r="E7" s="741"/>
      <c r="F7" s="741"/>
      <c r="G7" s="741"/>
      <c r="H7" s="508" t="s">
        <v>185</v>
      </c>
      <c r="I7" s="508" t="s">
        <v>186</v>
      </c>
      <c r="J7" s="508" t="s">
        <v>187</v>
      </c>
      <c r="K7" s="741"/>
    </row>
    <row r="8" spans="1:11" s="515" customFormat="1" ht="42" x14ac:dyDescent="0.2">
      <c r="A8" s="511">
        <v>1</v>
      </c>
      <c r="B8" s="512" t="s">
        <v>589</v>
      </c>
      <c r="C8" s="513">
        <v>4234600</v>
      </c>
      <c r="D8" s="584" t="s">
        <v>362</v>
      </c>
      <c r="E8" s="583" t="s">
        <v>609</v>
      </c>
      <c r="F8" s="513">
        <v>4125000</v>
      </c>
      <c r="G8" s="513">
        <f>C8-F8</f>
        <v>109600</v>
      </c>
      <c r="H8" s="513"/>
      <c r="I8" s="513">
        <f>F8</f>
        <v>4125000</v>
      </c>
      <c r="J8" s="513">
        <f>H8*100/F8</f>
        <v>0</v>
      </c>
      <c r="K8" s="514" t="s">
        <v>25</v>
      </c>
    </row>
    <row r="9" spans="1:11" s="515" customFormat="1" ht="84" x14ac:dyDescent="0.2">
      <c r="A9" s="511">
        <v>2</v>
      </c>
      <c r="B9" s="512" t="s">
        <v>586</v>
      </c>
      <c r="C9" s="513">
        <v>2785000</v>
      </c>
      <c r="D9" s="584" t="s">
        <v>362</v>
      </c>
      <c r="E9" s="583" t="s">
        <v>632</v>
      </c>
      <c r="F9" s="513">
        <v>2624906</v>
      </c>
      <c r="G9" s="513">
        <f>C9-F9</f>
        <v>160094</v>
      </c>
      <c r="H9" s="513"/>
      <c r="I9" s="513">
        <f t="shared" ref="I9" si="0">F9</f>
        <v>2624906</v>
      </c>
      <c r="J9" s="513">
        <f t="shared" ref="J9:J11" si="1">H9*100/F9</f>
        <v>0</v>
      </c>
      <c r="K9" s="514" t="s">
        <v>26</v>
      </c>
    </row>
    <row r="10" spans="1:11" s="515" customFormat="1" ht="42" x14ac:dyDescent="0.2">
      <c r="A10" s="511">
        <v>3</v>
      </c>
      <c r="B10" s="512" t="s">
        <v>587</v>
      </c>
      <c r="C10" s="513">
        <v>2936000</v>
      </c>
      <c r="D10" s="584" t="s">
        <v>633</v>
      </c>
      <c r="E10" s="513"/>
      <c r="F10" s="513"/>
      <c r="G10" s="513">
        <f>C10-F10</f>
        <v>2936000</v>
      </c>
      <c r="H10" s="513"/>
      <c r="I10" s="513">
        <f>F10-H10</f>
        <v>0</v>
      </c>
      <c r="J10" s="513" t="e">
        <f t="shared" si="1"/>
        <v>#DIV/0!</v>
      </c>
      <c r="K10" s="512" t="s">
        <v>29</v>
      </c>
    </row>
    <row r="11" spans="1:11" s="515" customFormat="1" ht="42" x14ac:dyDescent="0.2">
      <c r="A11" s="511">
        <v>4</v>
      </c>
      <c r="B11" s="512" t="s">
        <v>588</v>
      </c>
      <c r="C11" s="513">
        <v>1815000</v>
      </c>
      <c r="D11" s="584" t="s">
        <v>362</v>
      </c>
      <c r="E11" s="583" t="s">
        <v>634</v>
      </c>
      <c r="F11" s="513">
        <v>1400000</v>
      </c>
      <c r="G11" s="513">
        <f>C11-F11</f>
        <v>415000</v>
      </c>
      <c r="H11" s="513"/>
      <c r="I11" s="513">
        <f>F11-H11</f>
        <v>1400000</v>
      </c>
      <c r="J11" s="513">
        <f t="shared" si="1"/>
        <v>0</v>
      </c>
      <c r="K11" s="514" t="s">
        <v>173</v>
      </c>
    </row>
    <row r="12" spans="1:11" s="510" customFormat="1" x14ac:dyDescent="0.2">
      <c r="A12" s="738" t="s">
        <v>3</v>
      </c>
      <c r="B12" s="739"/>
      <c r="C12" s="516">
        <f>SUM(C8:C11)</f>
        <v>11770600</v>
      </c>
      <c r="D12" s="516"/>
      <c r="E12" s="516"/>
      <c r="F12" s="516">
        <f>F8+F9+F10+F11</f>
        <v>8149906</v>
      </c>
      <c r="G12" s="516">
        <f t="shared" ref="G12:I12" si="2">G8+G9+G10+G11</f>
        <v>3620694</v>
      </c>
      <c r="H12" s="516">
        <f t="shared" si="2"/>
        <v>0</v>
      </c>
      <c r="I12" s="516">
        <f t="shared" si="2"/>
        <v>8149906</v>
      </c>
      <c r="J12" s="516">
        <f>H12*100/F12</f>
        <v>0</v>
      </c>
      <c r="K12" s="517"/>
    </row>
  </sheetData>
  <mergeCells count="15">
    <mergeCell ref="A5:K5"/>
    <mergeCell ref="A1:K1"/>
    <mergeCell ref="A2:K2"/>
    <mergeCell ref="A3:K3"/>
    <mergeCell ref="A4:K4"/>
    <mergeCell ref="A12:B12"/>
    <mergeCell ref="A6:A7"/>
    <mergeCell ref="B6:B7"/>
    <mergeCell ref="C6:C7"/>
    <mergeCell ref="K6:K7"/>
    <mergeCell ref="H6:J6"/>
    <mergeCell ref="D6:D7"/>
    <mergeCell ref="E6:E7"/>
    <mergeCell ref="F6:F7"/>
    <mergeCell ref="G6:G7"/>
  </mergeCells>
  <pageMargins left="0.19685039370078741" right="0.19685039370078741" top="0.31496062992125984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งบกลุ่มจังหวัด 2561</vt:lpstr>
      <vt:lpstr>แผนภาค 2561 </vt:lpstr>
      <vt:lpstr>งบจังหวัด 2561</vt:lpstr>
      <vt:lpstr> 8 ล้าน</vt:lpstr>
      <vt:lpstr> งบ 250000 เหมียว</vt:lpstr>
      <vt:lpstr>Sheet1</vt:lpstr>
      <vt:lpstr>งบเร่งด่วน 61</vt:lpstr>
      <vt:lpstr>งบเร่งด่วน 61 (รอบ2)</vt:lpstr>
      <vt:lpstr>งบรองนายก</vt:lpstr>
      <vt:lpstr>'งบจังหวัด 2561'!Print_Area</vt:lpstr>
      <vt:lpstr>' 8 ล้าน'!Print_Titles</vt:lpstr>
      <vt:lpstr>Sheet1!Print_Titles</vt:lpstr>
      <vt:lpstr>'งบกลุ่มจังหวัด 2561'!Print_Titles</vt:lpstr>
      <vt:lpstr>'งบจังหวัด 2561'!Print_Titles</vt:lpstr>
      <vt:lpstr>'แผนภาค 2561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jass</cp:lastModifiedBy>
  <cp:lastPrinted>2018-07-23T08:18:58Z</cp:lastPrinted>
  <dcterms:created xsi:type="dcterms:W3CDTF">2017-08-04T07:03:38Z</dcterms:created>
  <dcterms:modified xsi:type="dcterms:W3CDTF">2018-07-25T06:30:35Z</dcterms:modified>
</cp:coreProperties>
</file>