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firstSheet="2" activeTab="3"/>
  </bookViews>
  <sheets>
    <sheet name="งบหน้า" sheetId="5" state="hidden" r:id="rId1"/>
    <sheet name="งบจังหวัด 2562 (2)" sheetId="4" state="hidden" r:id="rId2"/>
    <sheet name="งบกลุ่ม 2562" sheetId="3" r:id="rId3"/>
    <sheet name="งบจังหวัด 2562" sheetId="2" r:id="rId4"/>
    <sheet name="งบ 8 ล้าน" sheetId="6" r:id="rId5"/>
    <sheet name="งบกลุ่ม 250000" sheetId="7" r:id="rId6"/>
  </sheets>
  <definedNames>
    <definedName name="_xlnm._FilterDatabase" localSheetId="3" hidden="1">'งบจังหวัด 2562'!$A$4:$P$122</definedName>
    <definedName name="_xlnm._FilterDatabase" localSheetId="1" hidden="1">'งบจังหวัด 2562 (2)'!$A$7:$G$112</definedName>
    <definedName name="_GoBack" localSheetId="3">'งบจังหวัด 2562'!#REF!</definedName>
    <definedName name="_GoBack" localSheetId="1">'งบจังหวัด 2562 (2)'!#REF!</definedName>
    <definedName name="_xlnm.Print_Area" localSheetId="3">'งบจังหวัด 2562'!$A$1:$P$122</definedName>
    <definedName name="_xlnm.Print_Area" localSheetId="1">'งบจังหวัด 2562 (2)'!$A$1:$I$112</definedName>
    <definedName name="_xlnm.Print_Titles" localSheetId="2">'งบกลุ่ม 2562'!$4:$4</definedName>
    <definedName name="_xlnm.Print_Titles" localSheetId="3">'งบจังหวัด 2562'!$4:$6</definedName>
    <definedName name="_xlnm.Print_Titles" localSheetId="1">'งบจังหวัด 2562 (2)'!$7:$9</definedName>
  </definedNames>
  <calcPr calcId="145621"/>
</workbook>
</file>

<file path=xl/calcChain.xml><?xml version="1.0" encoding="utf-8"?>
<calcChain xmlns="http://schemas.openxmlformats.org/spreadsheetml/2006/main">
  <c r="U27" i="2" l="1"/>
  <c r="U26" i="2"/>
  <c r="T26" i="2"/>
  <c r="T28" i="2"/>
  <c r="T27" i="2"/>
  <c r="M76" i="2" l="1"/>
  <c r="K76" i="2"/>
  <c r="K75" i="2" s="1"/>
  <c r="M33" i="2" l="1"/>
  <c r="K33" i="2"/>
  <c r="L63" i="2" l="1"/>
  <c r="C15" i="6"/>
  <c r="L80" i="2" l="1"/>
  <c r="L98" i="2" l="1"/>
  <c r="L13" i="2"/>
  <c r="C57" i="6" l="1"/>
  <c r="L50" i="2"/>
  <c r="M13" i="2" l="1"/>
  <c r="L12" i="2" l="1"/>
  <c r="M12" i="2" s="1"/>
  <c r="C30" i="6" l="1"/>
  <c r="C25" i="6"/>
  <c r="L73" i="2"/>
  <c r="L99" i="2" l="1"/>
  <c r="L106" i="2"/>
  <c r="C40" i="6" l="1"/>
  <c r="C54" i="6" l="1"/>
  <c r="C37" i="6" l="1"/>
  <c r="L86" i="2" l="1"/>
  <c r="L87" i="2"/>
  <c r="M29" i="2" l="1"/>
  <c r="K29" i="2"/>
  <c r="M65" i="2"/>
  <c r="K65" i="2"/>
  <c r="M23" i="2"/>
  <c r="K23" i="2"/>
  <c r="M22" i="2"/>
  <c r="N46" i="2"/>
  <c r="M46" i="2"/>
  <c r="K46" i="2"/>
  <c r="L82" i="2" l="1"/>
  <c r="L92" i="2" l="1"/>
  <c r="L57" i="2" l="1"/>
  <c r="C38" i="6" l="1"/>
  <c r="D5" i="7" l="1"/>
  <c r="L62" i="2" l="1"/>
  <c r="L49" i="2" l="1"/>
  <c r="L55" i="2"/>
  <c r="L89" i="2"/>
  <c r="C39" i="6" l="1"/>
  <c r="C36" i="6"/>
  <c r="C35" i="6"/>
  <c r="M71" i="2" l="1"/>
  <c r="K71" i="2"/>
  <c r="M67" i="2"/>
  <c r="M68" i="2"/>
  <c r="M69" i="2"/>
  <c r="K67" i="2"/>
  <c r="K68" i="2"/>
  <c r="K69" i="2"/>
  <c r="M66" i="2"/>
  <c r="K66" i="2"/>
  <c r="M61" i="2"/>
  <c r="K61" i="2"/>
  <c r="M59" i="2"/>
  <c r="M60" i="2"/>
  <c r="K60" i="2"/>
  <c r="K59" i="2" l="1"/>
  <c r="E46" i="6"/>
  <c r="D46" i="6"/>
  <c r="C47" i="6"/>
  <c r="E47" i="6" s="1"/>
  <c r="C27" i="6"/>
  <c r="D47" i="6" l="1"/>
  <c r="D75" i="2"/>
  <c r="D76" i="2"/>
  <c r="D77" i="2"/>
  <c r="D78" i="2"/>
  <c r="D79" i="2"/>
  <c r="D80" i="2"/>
  <c r="D81" i="2"/>
  <c r="D82" i="2"/>
  <c r="D73" i="2"/>
  <c r="D65" i="2"/>
  <c r="D66" i="2"/>
  <c r="D67" i="2"/>
  <c r="D68" i="2"/>
  <c r="D69" i="2"/>
  <c r="D70" i="2"/>
  <c r="D71" i="2"/>
  <c r="D63" i="2"/>
  <c r="D59" i="2"/>
  <c r="D60" i="2"/>
  <c r="D61" i="2"/>
  <c r="D57" i="2"/>
  <c r="M45" i="2"/>
  <c r="M44" i="2"/>
  <c r="K45" i="2"/>
  <c r="M24" i="2"/>
  <c r="K24" i="2"/>
  <c r="M31" i="2" l="1"/>
  <c r="G122" i="2"/>
  <c r="H122" i="2"/>
  <c r="I122" i="2"/>
  <c r="L15" i="3"/>
  <c r="L14" i="3"/>
  <c r="L10" i="3"/>
  <c r="L9" i="3" s="1"/>
  <c r="L8" i="3" s="1"/>
  <c r="L7" i="3" s="1"/>
  <c r="F16" i="3"/>
  <c r="G16" i="3"/>
  <c r="H16" i="3"/>
  <c r="J13" i="3"/>
  <c r="J12" i="3" s="1"/>
  <c r="J11" i="3" s="1"/>
  <c r="K13" i="3"/>
  <c r="K12" i="3"/>
  <c r="K11" i="3" s="1"/>
  <c r="J9" i="3"/>
  <c r="J8" i="3" s="1"/>
  <c r="J7" i="3" s="1"/>
  <c r="K9" i="3"/>
  <c r="K8" i="3" s="1"/>
  <c r="K7" i="3" s="1"/>
  <c r="I9" i="3"/>
  <c r="I13" i="3"/>
  <c r="I12" i="3" s="1"/>
  <c r="I11" i="3" s="1"/>
  <c r="I8" i="3"/>
  <c r="I7" i="3" s="1"/>
  <c r="M27" i="2"/>
  <c r="N50" i="2"/>
  <c r="N51" i="2"/>
  <c r="N49" i="2"/>
  <c r="M49" i="2"/>
  <c r="M50" i="2"/>
  <c r="M51" i="2"/>
  <c r="M55" i="2"/>
  <c r="M57" i="2"/>
  <c r="M63" i="2"/>
  <c r="M70" i="2"/>
  <c r="M73" i="2"/>
  <c r="M77" i="2"/>
  <c r="M78" i="2"/>
  <c r="M79" i="2"/>
  <c r="M80" i="2"/>
  <c r="M81" i="2"/>
  <c r="M82" i="2"/>
  <c r="M84" i="2"/>
  <c r="M83" i="2" s="1"/>
  <c r="M86" i="2"/>
  <c r="M87" i="2"/>
  <c r="M88" i="2"/>
  <c r="M89" i="2"/>
  <c r="M90" i="2"/>
  <c r="M92" i="2"/>
  <c r="M91" i="2" s="1"/>
  <c r="M96" i="2"/>
  <c r="M95" i="2" s="1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42" i="2"/>
  <c r="M34" i="2"/>
  <c r="M36" i="2"/>
  <c r="M37" i="2"/>
  <c r="M26" i="2"/>
  <c r="M20" i="2"/>
  <c r="K119" i="2"/>
  <c r="L117" i="2"/>
  <c r="L115" i="2" s="1"/>
  <c r="N55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19" i="2"/>
  <c r="L13" i="3" l="1"/>
  <c r="L12" i="3" s="1"/>
  <c r="L11" i="3" s="1"/>
  <c r="L6" i="3" s="1"/>
  <c r="L16" i="3" s="1"/>
  <c r="M48" i="2"/>
  <c r="M64" i="2"/>
  <c r="M62" i="2" s="1"/>
  <c r="M58" i="2"/>
  <c r="M56" i="2" s="1"/>
  <c r="M85" i="2"/>
  <c r="K6" i="3"/>
  <c r="K16" i="3" s="1"/>
  <c r="J6" i="3"/>
  <c r="J16" i="3" s="1"/>
  <c r="I6" i="3"/>
  <c r="I16" i="3" s="1"/>
  <c r="L114" i="2"/>
  <c r="L116" i="2"/>
  <c r="N77" i="2"/>
  <c r="N78" i="2"/>
  <c r="N79" i="2"/>
  <c r="N80" i="2"/>
  <c r="N81" i="2"/>
  <c r="N82" i="2"/>
  <c r="J74" i="2"/>
  <c r="K77" i="2"/>
  <c r="L75" i="2"/>
  <c r="N75" i="2" l="1"/>
  <c r="L74" i="2"/>
  <c r="M75" i="2"/>
  <c r="M74" i="2" s="1"/>
  <c r="M72" i="2" s="1"/>
  <c r="M98" i="2"/>
  <c r="M97" i="2" s="1"/>
  <c r="M94" i="2" s="1"/>
  <c r="M93" i="2" s="1"/>
  <c r="N99" i="2" l="1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98" i="2"/>
  <c r="N96" i="2"/>
  <c r="N88" i="2"/>
  <c r="N89" i="2"/>
  <c r="N90" i="2"/>
  <c r="N87" i="2"/>
  <c r="N63" i="2"/>
  <c r="N92" i="2" l="1"/>
  <c r="N86" i="2"/>
  <c r="C6" i="7" l="1"/>
  <c r="F6" i="7" l="1"/>
  <c r="E5" i="7"/>
  <c r="E6" i="7" s="1"/>
  <c r="F5" i="7"/>
  <c r="N73" i="2" l="1"/>
  <c r="N57" i="2"/>
  <c r="C45" i="6" l="1"/>
  <c r="C44" i="6" s="1"/>
  <c r="E45" i="6" l="1"/>
  <c r="D45" i="6"/>
  <c r="D36" i="6"/>
  <c r="D37" i="6"/>
  <c r="D38" i="6"/>
  <c r="D39" i="6"/>
  <c r="D40" i="6"/>
  <c r="D35" i="6"/>
  <c r="D23" i="6"/>
  <c r="D22" i="6"/>
  <c r="D28" i="6"/>
  <c r="D29" i="6"/>
  <c r="D30" i="6"/>
  <c r="D31" i="6"/>
  <c r="D32" i="6"/>
  <c r="D33" i="6"/>
  <c r="D27" i="6"/>
  <c r="D25" i="6"/>
  <c r="M11" i="2" l="1"/>
  <c r="L40" i="2" l="1"/>
  <c r="L38" i="2" s="1"/>
  <c r="J40" i="2"/>
  <c r="J38" i="2" s="1"/>
  <c r="M21" i="2"/>
  <c r="K21" i="2"/>
  <c r="K34" i="2"/>
  <c r="J117" i="2"/>
  <c r="J116" i="2" s="1"/>
  <c r="O117" i="2"/>
  <c r="O115" i="2" s="1"/>
  <c r="O114" i="2" s="1"/>
  <c r="F97" i="2"/>
  <c r="J97" i="2"/>
  <c r="K97" i="2"/>
  <c r="L97" i="2"/>
  <c r="O97" i="2"/>
  <c r="J95" i="2"/>
  <c r="J94" i="2" s="1"/>
  <c r="J93" i="2" s="1"/>
  <c r="K95" i="2"/>
  <c r="L95" i="2"/>
  <c r="O95" i="2"/>
  <c r="F95" i="2"/>
  <c r="K94" i="2"/>
  <c r="K93" i="2" s="1"/>
  <c r="J91" i="2"/>
  <c r="K91" i="2"/>
  <c r="L91" i="2"/>
  <c r="N91" i="2" s="1"/>
  <c r="O91" i="2"/>
  <c r="F91" i="2"/>
  <c r="J85" i="2"/>
  <c r="K85" i="2"/>
  <c r="L85" i="2"/>
  <c r="N85" i="2" s="1"/>
  <c r="O85" i="2"/>
  <c r="J83" i="2"/>
  <c r="K83" i="2"/>
  <c r="L83" i="2"/>
  <c r="N83" i="2" s="1"/>
  <c r="O83" i="2"/>
  <c r="F83" i="2"/>
  <c r="K78" i="2"/>
  <c r="K79" i="2"/>
  <c r="K80" i="2"/>
  <c r="K81" i="2"/>
  <c r="K82" i="2"/>
  <c r="J72" i="2"/>
  <c r="L94" i="2" l="1"/>
  <c r="F94" i="2"/>
  <c r="O94" i="2"/>
  <c r="O93" i="2" s="1"/>
  <c r="O116" i="2"/>
  <c r="J115" i="2"/>
  <c r="J114" i="2" s="1"/>
  <c r="L72" i="2"/>
  <c r="N74" i="2"/>
  <c r="K74" i="2"/>
  <c r="K72" i="2" s="1"/>
  <c r="L93" i="2"/>
  <c r="F74" i="2"/>
  <c r="D74" i="2" s="1"/>
  <c r="E72" i="2"/>
  <c r="J64" i="2"/>
  <c r="J62" i="2" s="1"/>
  <c r="L64" i="2"/>
  <c r="E62" i="2"/>
  <c r="F64" i="2"/>
  <c r="L58" i="2"/>
  <c r="L56" i="2" s="1"/>
  <c r="J58" i="2"/>
  <c r="J56" i="2" s="1"/>
  <c r="F58" i="2"/>
  <c r="D58" i="2" s="1"/>
  <c r="O54" i="2"/>
  <c r="O52" i="2" s="1"/>
  <c r="F48" i="2"/>
  <c r="J48" i="2"/>
  <c r="K48" i="2"/>
  <c r="L48" i="2"/>
  <c r="O48" i="2"/>
  <c r="O38" i="2"/>
  <c r="J18" i="2"/>
  <c r="L18" i="2"/>
  <c r="O18" i="2"/>
  <c r="M17" i="2"/>
  <c r="N17" i="2" s="1"/>
  <c r="J16" i="2"/>
  <c r="K16" i="2"/>
  <c r="L16" i="2"/>
  <c r="M16" i="2"/>
  <c r="O16" i="2"/>
  <c r="F62" i="2" l="1"/>
  <c r="D64" i="2"/>
  <c r="N18" i="2"/>
  <c r="M54" i="2"/>
  <c r="M53" i="2" s="1"/>
  <c r="M52" i="2" s="1"/>
  <c r="L54" i="2"/>
  <c r="L53" i="2" s="1"/>
  <c r="J54" i="2"/>
  <c r="K58" i="2"/>
  <c r="K56" i="2" s="1"/>
  <c r="K64" i="2"/>
  <c r="K62" i="2" s="1"/>
  <c r="E58" i="6"/>
  <c r="E54" i="6"/>
  <c r="E55" i="6"/>
  <c r="E56" i="6"/>
  <c r="E53" i="6"/>
  <c r="D54" i="6"/>
  <c r="D55" i="6"/>
  <c r="D56" i="6"/>
  <c r="D57" i="6"/>
  <c r="D58" i="6"/>
  <c r="D53" i="6"/>
  <c r="C51" i="6"/>
  <c r="E49" i="6"/>
  <c r="D49" i="6"/>
  <c r="E44" i="6"/>
  <c r="E43" i="6"/>
  <c r="E42" i="6"/>
  <c r="D41" i="6"/>
  <c r="C41" i="6"/>
  <c r="E36" i="6"/>
  <c r="E37" i="6"/>
  <c r="E38" i="6"/>
  <c r="E39" i="6"/>
  <c r="E40" i="6"/>
  <c r="E35" i="6"/>
  <c r="D34" i="6"/>
  <c r="C34" i="6"/>
  <c r="E27" i="6"/>
  <c r="E28" i="6"/>
  <c r="E29" i="6"/>
  <c r="E30" i="6"/>
  <c r="E31" i="6"/>
  <c r="E32" i="6"/>
  <c r="E33" i="6"/>
  <c r="E25" i="6"/>
  <c r="D24" i="6"/>
  <c r="C24" i="6"/>
  <c r="E23" i="6"/>
  <c r="E22" i="6"/>
  <c r="D21" i="6"/>
  <c r="C21" i="6"/>
  <c r="E19" i="6"/>
  <c r="D19" i="6"/>
  <c r="E16" i="6"/>
  <c r="E17" i="6"/>
  <c r="E15" i="6"/>
  <c r="D16" i="6"/>
  <c r="D17" i="6"/>
  <c r="D15" i="6"/>
  <c r="C14" i="6"/>
  <c r="E10" i="6"/>
  <c r="E11" i="6"/>
  <c r="E12" i="6"/>
  <c r="E9" i="6"/>
  <c r="D10" i="6"/>
  <c r="D11" i="6"/>
  <c r="D12" i="6"/>
  <c r="D9" i="6"/>
  <c r="C8" i="6"/>
  <c r="D8" i="6" l="1"/>
  <c r="D14" i="6"/>
  <c r="L52" i="2"/>
  <c r="J53" i="2"/>
  <c r="J52" i="2" s="1"/>
  <c r="K54" i="2"/>
  <c r="D51" i="6"/>
  <c r="D44" i="6"/>
  <c r="E57" i="6"/>
  <c r="K53" i="2" l="1"/>
  <c r="K52" i="2" s="1"/>
  <c r="O10" i="2"/>
  <c r="O9" i="2" s="1"/>
  <c r="O8" i="2" s="1"/>
  <c r="O7" i="2" s="1"/>
  <c r="O122" i="2" s="1"/>
  <c r="N12" i="2"/>
  <c r="N13" i="2"/>
  <c r="N14" i="2"/>
  <c r="N15" i="2"/>
  <c r="N11" i="2"/>
  <c r="M14" i="2"/>
  <c r="M15" i="2"/>
  <c r="J10" i="2"/>
  <c r="J9" i="2" s="1"/>
  <c r="J8" i="2" s="1"/>
  <c r="J122" i="2" s="1"/>
  <c r="K10" i="2"/>
  <c r="L10" i="2"/>
  <c r="L9" i="2" s="1"/>
  <c r="L8" i="2" s="1"/>
  <c r="F119" i="2"/>
  <c r="M119" i="2" s="1"/>
  <c r="F120" i="2"/>
  <c r="F118" i="2"/>
  <c r="K120" i="2" l="1"/>
  <c r="M120" i="2"/>
  <c r="K118" i="2"/>
  <c r="M118" i="2"/>
  <c r="M117" i="2" s="1"/>
  <c r="M10" i="2"/>
  <c r="C59" i="6"/>
  <c r="L121" i="2" s="1"/>
  <c r="D59" i="6"/>
  <c r="F59" i="6"/>
  <c r="B51" i="6"/>
  <c r="E51" i="6" s="1"/>
  <c r="B41" i="6"/>
  <c r="E41" i="6" s="1"/>
  <c r="B34" i="6"/>
  <c r="E34" i="6" s="1"/>
  <c r="B24" i="6"/>
  <c r="E24" i="6" s="1"/>
  <c r="B21" i="6"/>
  <c r="E21" i="6" s="1"/>
  <c r="B14" i="6"/>
  <c r="E14" i="6" s="1"/>
  <c r="B8" i="6"/>
  <c r="E8" i="6" s="1"/>
  <c r="M115" i="2" l="1"/>
  <c r="M114" i="2" s="1"/>
  <c r="M116" i="2"/>
  <c r="E59" i="6"/>
  <c r="L122" i="2"/>
  <c r="B59" i="6"/>
  <c r="J7" i="2"/>
  <c r="L7" i="2"/>
  <c r="E117" i="2" l="1"/>
  <c r="E115" i="2" s="1"/>
  <c r="E114" i="2" s="1"/>
  <c r="D117" i="2"/>
  <c r="D115" i="2" s="1"/>
  <c r="D114" i="2" s="1"/>
  <c r="R117" i="2"/>
  <c r="F117" i="2" l="1"/>
  <c r="N117" i="2" s="1"/>
  <c r="E111" i="4"/>
  <c r="D4" i="4" s="1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F94" i="4"/>
  <c r="F90" i="4" s="1"/>
  <c r="E94" i="4"/>
  <c r="D93" i="4"/>
  <c r="E92" i="4"/>
  <c r="D92" i="4" s="1"/>
  <c r="D91" i="4"/>
  <c r="D89" i="4"/>
  <c r="D88" i="4" s="1"/>
  <c r="E88" i="4"/>
  <c r="D87" i="4"/>
  <c r="D86" i="4"/>
  <c r="D85" i="4"/>
  <c r="D84" i="4"/>
  <c r="D83" i="4"/>
  <c r="D82" i="4" s="1"/>
  <c r="F82" i="4"/>
  <c r="E82" i="4"/>
  <c r="D80" i="4"/>
  <c r="D71" i="4"/>
  <c r="D63" i="4"/>
  <c r="D59" i="4"/>
  <c r="D58" i="4"/>
  <c r="F57" i="4"/>
  <c r="F55" i="4" s="1"/>
  <c r="E57" i="4"/>
  <c r="D57" i="4"/>
  <c r="D54" i="4"/>
  <c r="D53" i="4"/>
  <c r="D51" i="4" s="1"/>
  <c r="D52" i="4"/>
  <c r="E51" i="4"/>
  <c r="D50" i="4"/>
  <c r="D49" i="4"/>
  <c r="D48" i="4"/>
  <c r="F47" i="4"/>
  <c r="F46" i="4"/>
  <c r="D45" i="4"/>
  <c r="F44" i="4"/>
  <c r="D44" i="4" s="1"/>
  <c r="F42" i="4"/>
  <c r="E41" i="4"/>
  <c r="F40" i="4"/>
  <c r="F39" i="4"/>
  <c r="F38" i="4"/>
  <c r="F37" i="4"/>
  <c r="F36" i="4"/>
  <c r="F35" i="4"/>
  <c r="F34" i="4"/>
  <c r="F33" i="4"/>
  <c r="D32" i="4"/>
  <c r="F31" i="4"/>
  <c r="D30" i="4"/>
  <c r="D29" i="4"/>
  <c r="F28" i="4"/>
  <c r="D27" i="4"/>
  <c r="D26" i="4"/>
  <c r="F25" i="4"/>
  <c r="D24" i="4"/>
  <c r="D23" i="4"/>
  <c r="F22" i="4"/>
  <c r="E21" i="4"/>
  <c r="D20" i="4"/>
  <c r="D19" i="4" s="1"/>
  <c r="F19" i="4"/>
  <c r="E19" i="4"/>
  <c r="D18" i="4"/>
  <c r="D17" i="4"/>
  <c r="D16" i="4"/>
  <c r="D15" i="4"/>
  <c r="D14" i="4"/>
  <c r="D13" i="4" s="1"/>
  <c r="F13" i="4"/>
  <c r="E13" i="4"/>
  <c r="E11" i="4" s="1"/>
  <c r="D13" i="3"/>
  <c r="E13" i="3"/>
  <c r="D12" i="3"/>
  <c r="E12" i="3"/>
  <c r="D11" i="3"/>
  <c r="E11" i="3"/>
  <c r="D9" i="3"/>
  <c r="D8" i="3" s="1"/>
  <c r="D7" i="3" s="1"/>
  <c r="D6" i="3" s="1"/>
  <c r="E9" i="3"/>
  <c r="E8" i="3" s="1"/>
  <c r="E7" i="3" s="1"/>
  <c r="E6" i="3" s="1"/>
  <c r="E16" i="3" s="1"/>
  <c r="C9" i="3"/>
  <c r="C13" i="3"/>
  <c r="C12" i="3" s="1"/>
  <c r="C11" i="3" s="1"/>
  <c r="C8" i="3"/>
  <c r="C7" i="3" s="1"/>
  <c r="F21" i="4" l="1"/>
  <c r="D21" i="4"/>
  <c r="D94" i="4"/>
  <c r="E55" i="4"/>
  <c r="B5" i="5"/>
  <c r="D5" i="5" s="1"/>
  <c r="D16" i="3"/>
  <c r="D90" i="4"/>
  <c r="F115" i="2"/>
  <c r="F116" i="2"/>
  <c r="E90" i="4"/>
  <c r="D55" i="4"/>
  <c r="E10" i="4"/>
  <c r="F43" i="4"/>
  <c r="C6" i="3"/>
  <c r="C16" i="3" s="1"/>
  <c r="F114" i="2" l="1"/>
  <c r="N114" i="2" s="1"/>
  <c r="N115" i="2"/>
  <c r="D116" i="2"/>
  <c r="N116" i="2"/>
  <c r="D43" i="4"/>
  <c r="D41" i="4" s="1"/>
  <c r="D11" i="4" s="1"/>
  <c r="D10" i="4" s="1"/>
  <c r="F41" i="4"/>
  <c r="F11" i="4" s="1"/>
  <c r="F10" i="4" s="1"/>
  <c r="E112" i="4"/>
  <c r="D3" i="4"/>
  <c r="E38" i="2"/>
  <c r="D42" i="2"/>
  <c r="F41" i="2"/>
  <c r="M41" i="2" s="1"/>
  <c r="M40" i="2" s="1"/>
  <c r="E121" i="2"/>
  <c r="M121" i="2" s="1"/>
  <c r="D113" i="2"/>
  <c r="R112" i="2"/>
  <c r="R113" i="2" s="1"/>
  <c r="D112" i="2"/>
  <c r="D111" i="2"/>
  <c r="D110" i="2"/>
  <c r="D109" i="2"/>
  <c r="D108" i="2"/>
  <c r="R107" i="2"/>
  <c r="R108" i="2" s="1"/>
  <c r="R109" i="2" s="1"/>
  <c r="R110" i="2" s="1"/>
  <c r="R111" i="2" s="1"/>
  <c r="D107" i="2"/>
  <c r="D106" i="2"/>
  <c r="D105" i="2"/>
  <c r="D104" i="2"/>
  <c r="D103" i="2"/>
  <c r="D102" i="2"/>
  <c r="D101" i="2"/>
  <c r="D100" i="2"/>
  <c r="D99" i="2"/>
  <c r="D98" i="2"/>
  <c r="F93" i="2"/>
  <c r="E97" i="2"/>
  <c r="N97" i="2" s="1"/>
  <c r="D96" i="2"/>
  <c r="R95" i="2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E95" i="2"/>
  <c r="R93" i="2"/>
  <c r="R94" i="2" s="1"/>
  <c r="D92" i="2"/>
  <c r="D91" i="2" s="1"/>
  <c r="E91" i="2"/>
  <c r="D90" i="2"/>
  <c r="D89" i="2"/>
  <c r="D88" i="2"/>
  <c r="D87" i="2"/>
  <c r="D86" i="2"/>
  <c r="R85" i="2"/>
  <c r="R86" i="2" s="1"/>
  <c r="R87" i="2" s="1"/>
  <c r="R88" i="2" s="1"/>
  <c r="R89" i="2" s="1"/>
  <c r="R90" i="2" s="1"/>
  <c r="R91" i="2" s="1"/>
  <c r="R92" i="2" s="1"/>
  <c r="F85" i="2"/>
  <c r="E85" i="2"/>
  <c r="N84" i="2" s="1"/>
  <c r="R84" i="2"/>
  <c r="D83" i="2"/>
  <c r="R72" i="2"/>
  <c r="R75" i="2" s="1"/>
  <c r="R76" i="2" s="1"/>
  <c r="R81" i="2" s="1"/>
  <c r="R82" i="2" s="1"/>
  <c r="R83" i="2" s="1"/>
  <c r="D72" i="2"/>
  <c r="N72" i="2" s="1"/>
  <c r="R62" i="2"/>
  <c r="R65" i="2" s="1"/>
  <c r="R66" i="2" s="1"/>
  <c r="R71" i="2" s="1"/>
  <c r="D62" i="2"/>
  <c r="N62" i="2" s="1"/>
  <c r="D56" i="2"/>
  <c r="N56" i="2" s="1"/>
  <c r="D55" i="2"/>
  <c r="F54" i="2"/>
  <c r="E54" i="2"/>
  <c r="E53" i="2" s="1"/>
  <c r="D51" i="2"/>
  <c r="D50" i="2"/>
  <c r="D49" i="2"/>
  <c r="E48" i="2"/>
  <c r="N48" i="2" s="1"/>
  <c r="D47" i="2"/>
  <c r="R46" i="2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9" i="2" s="1"/>
  <c r="R60" i="2" s="1"/>
  <c r="R61" i="2" s="1"/>
  <c r="D46" i="2"/>
  <c r="R45" i="2"/>
  <c r="D45" i="2"/>
  <c r="R44" i="2"/>
  <c r="F44" i="2"/>
  <c r="K44" i="2" s="1"/>
  <c r="K38" i="2" s="1"/>
  <c r="F43" i="2"/>
  <c r="M43" i="2" s="1"/>
  <c r="F39" i="2"/>
  <c r="M39" i="2" s="1"/>
  <c r="R37" i="2"/>
  <c r="R38" i="2" s="1"/>
  <c r="R39" i="2" s="1"/>
  <c r="R40" i="2" s="1"/>
  <c r="R43" i="2" s="1"/>
  <c r="F37" i="2"/>
  <c r="K37" i="2" s="1"/>
  <c r="R36" i="2"/>
  <c r="F36" i="2"/>
  <c r="K36" i="2" s="1"/>
  <c r="R35" i="2"/>
  <c r="F35" i="2"/>
  <c r="M35" i="2" s="1"/>
  <c r="R33" i="2"/>
  <c r="R34" i="2" s="1"/>
  <c r="F33" i="2"/>
  <c r="F32" i="2"/>
  <c r="M32" i="2" s="1"/>
  <c r="R31" i="2"/>
  <c r="R32" i="2" s="1"/>
  <c r="F31" i="2"/>
  <c r="K31" i="2" s="1"/>
  <c r="F30" i="2"/>
  <c r="M30" i="2" s="1"/>
  <c r="D29" i="2"/>
  <c r="R28" i="2"/>
  <c r="R29" i="2" s="1"/>
  <c r="R30" i="2" s="1"/>
  <c r="F28" i="2"/>
  <c r="M28" i="2" s="1"/>
  <c r="D27" i="2"/>
  <c r="D26" i="2"/>
  <c r="F25" i="2"/>
  <c r="M25" i="2" s="1"/>
  <c r="D24" i="2"/>
  <c r="D23" i="2"/>
  <c r="F22" i="2"/>
  <c r="K22" i="2" s="1"/>
  <c r="D21" i="2"/>
  <c r="D20" i="2"/>
  <c r="F19" i="2"/>
  <c r="M19" i="2" s="1"/>
  <c r="R18" i="2"/>
  <c r="R19" i="2" s="1"/>
  <c r="R20" i="2" s="1"/>
  <c r="R21" i="2" s="1"/>
  <c r="R22" i="2" s="1"/>
  <c r="R23" i="2" s="1"/>
  <c r="R24" i="2" s="1"/>
  <c r="R25" i="2" s="1"/>
  <c r="R26" i="2" s="1"/>
  <c r="R27" i="2" s="1"/>
  <c r="E18" i="2"/>
  <c r="D17" i="2"/>
  <c r="D16" i="2" s="1"/>
  <c r="R17" i="2"/>
  <c r="R16" i="2"/>
  <c r="F16" i="2"/>
  <c r="E16" i="2"/>
  <c r="N16" i="2" s="1"/>
  <c r="D15" i="2"/>
  <c r="R14" i="2"/>
  <c r="R15" i="2" s="1"/>
  <c r="D14" i="2"/>
  <c r="R13" i="2"/>
  <c r="D13" i="2"/>
  <c r="D12" i="2"/>
  <c r="D11" i="2"/>
  <c r="F10" i="2"/>
  <c r="E10" i="2"/>
  <c r="M38" i="2" l="1"/>
  <c r="M18" i="2"/>
  <c r="K18" i="2"/>
  <c r="N10" i="2"/>
  <c r="E9" i="2"/>
  <c r="F52" i="2"/>
  <c r="F53" i="2"/>
  <c r="D53" i="2" s="1"/>
  <c r="N53" i="2" s="1"/>
  <c r="N121" i="2"/>
  <c r="D95" i="2"/>
  <c r="E94" i="2"/>
  <c r="N95" i="2"/>
  <c r="E8" i="2"/>
  <c r="D41" i="2"/>
  <c r="E93" i="2"/>
  <c r="N93" i="2" s="1"/>
  <c r="F40" i="2"/>
  <c r="F38" i="2" s="1"/>
  <c r="D112" i="4"/>
  <c r="D2" i="4"/>
  <c r="D5" i="4" s="1"/>
  <c r="F112" i="4"/>
  <c r="D54" i="2"/>
  <c r="N54" i="2" s="1"/>
  <c r="D18" i="2"/>
  <c r="D48" i="2"/>
  <c r="E52" i="2"/>
  <c r="D97" i="2"/>
  <c r="D93" i="2" s="1"/>
  <c r="F18" i="2"/>
  <c r="D85" i="2"/>
  <c r="D10" i="2"/>
  <c r="M9" i="2" l="1"/>
  <c r="M8" i="2" s="1"/>
  <c r="F9" i="2"/>
  <c r="D9" i="2" s="1"/>
  <c r="N9" i="2" s="1"/>
  <c r="N94" i="2"/>
  <c r="D94" i="2"/>
  <c r="E7" i="2"/>
  <c r="D52" i="2"/>
  <c r="N52" i="2" s="1"/>
  <c r="E122" i="2"/>
  <c r="C4" i="5" s="1"/>
  <c r="C6" i="5" s="1"/>
  <c r="F8" i="2"/>
  <c r="M122" i="2" l="1"/>
  <c r="M7" i="2"/>
  <c r="F122" i="2"/>
  <c r="F7" i="2"/>
  <c r="R11" i="2"/>
  <c r="R12" i="2" s="1"/>
  <c r="D40" i="2"/>
  <c r="B4" i="5" l="1"/>
  <c r="B6" i="5" s="1"/>
  <c r="D7" i="2"/>
  <c r="N7" i="2" s="1"/>
  <c r="D4" i="5"/>
  <c r="D6" i="5" s="1"/>
  <c r="D38" i="2"/>
  <c r="K116" i="2" l="1"/>
  <c r="K117" i="2"/>
  <c r="K115" i="2" s="1"/>
  <c r="D8" i="2"/>
  <c r="K114" i="2" l="1"/>
  <c r="K9" i="2" s="1"/>
  <c r="K8" i="2" s="1"/>
  <c r="K122" i="2" s="1"/>
  <c r="D122" i="2"/>
  <c r="N8" i="2"/>
  <c r="R7" i="2"/>
  <c r="R8" i="2" s="1"/>
  <c r="R9" i="2" s="1"/>
  <c r="R10" i="2" s="1"/>
  <c r="K7" i="2" l="1"/>
  <c r="N122" i="2"/>
</calcChain>
</file>

<file path=xl/sharedStrings.xml><?xml version="1.0" encoding="utf-8"?>
<sst xmlns="http://schemas.openxmlformats.org/spreadsheetml/2006/main" count="765" uniqueCount="345">
  <si>
    <t>รวม 3 ประเด็นยุทธศาสตร์</t>
  </si>
  <si>
    <t>งบบริหารจัดการ</t>
  </si>
  <si>
    <t>อำเภอป่าโมก</t>
  </si>
  <si>
    <t>งานมหกรรมกลองนานาชาติ</t>
  </si>
  <si>
    <t>งานรำลึกประพาสต้นล้นเกล้ารัชกาลที่ 5</t>
  </si>
  <si>
    <t>งานเทศกาลกินผัดไทย ไหว้พระสมเด็จเกษไชโย</t>
  </si>
  <si>
    <t>อำเภอไชโย</t>
  </si>
  <si>
    <t>งานรำลึกสมเด็จพระพุฒาจารย์ (โต พรหมรังสี)</t>
  </si>
  <si>
    <t>อำเภอโพธิ์ทอง</t>
  </si>
  <si>
    <t>งานเทศกาลไหว้พระนอนวัดขุนอินทประมูล</t>
  </si>
  <si>
    <t>อำเภอสามโก้</t>
  </si>
  <si>
    <t>งานมหกรรมมะม่วงส่งออกและของดีอำเภอสามโก้</t>
  </si>
  <si>
    <t>งานมหกรรมลิเก</t>
  </si>
  <si>
    <t>อำเภอวิเศษชัยชาญ</t>
  </si>
  <si>
    <t xml:space="preserve">งานรำลึกวีรชนแขวงเมืองวิเศษไชยชาญ </t>
  </si>
  <si>
    <t>อำเภอแสวงหา</t>
  </si>
  <si>
    <t xml:space="preserve">งานสดุดีวีรชนคนแสวงหา </t>
  </si>
  <si>
    <t xml:space="preserve">งานเกษตรและของดีเมืองอ่างทอง </t>
  </si>
  <si>
    <t xml:space="preserve">งานมหกรรมกินกุ้งใหญ่ กินไข่นกกระทา กินผักปลาปลอดสารพิษ  </t>
  </si>
  <si>
    <t xml:space="preserve">งานสดุดีวีรชนพันท้ายนรสิงห์ </t>
  </si>
  <si>
    <t xml:space="preserve">งานรำลึกสมเด็จพระนเรศวรมหาราช  </t>
  </si>
  <si>
    <t>งานรำลึกรัชกาลที่ 9</t>
  </si>
  <si>
    <t>งานรำลึกวีรชนคนถูกลืม ขุนรองปลัดชู</t>
  </si>
  <si>
    <t>งานแข่งขันเรือพาย</t>
  </si>
  <si>
    <t>กิจกรรมหลักที่ 2 การพัฒนาผลิตภัณฑ์และกิจกรรมการท่องเที่ยว</t>
  </si>
  <si>
    <t>พัฒนาเครือข่ายการท่องเที่ยวชุมชนอย่างสร้างสรรค์</t>
  </si>
  <si>
    <t>กิจกรรมหลักที่ 1 พัฒนาศักยภาพบุคลากรด้านการท่องเที่ยว</t>
  </si>
  <si>
    <t>โครงการท่องเที่ยวเชิงวัฒนธรรมจังหวัดอ่างทอง</t>
  </si>
  <si>
    <t>กิจกรรมหลักที่ 4 พัฒนาช่องทางการตลาด</t>
  </si>
  <si>
    <t>พัฒนาศักยภาพผู้ประกอบการผลิตภัณฑ์ชุมชน</t>
  </si>
  <si>
    <t>ตรวจรับรองมาตรฐานพืชปลอดภัย</t>
  </si>
  <si>
    <t>กิจกรรมอาหารสดปลอดภัยไร้สารปนเปื้อนอันตราย</t>
  </si>
  <si>
    <t>กิจกรรมหลักที่ 2 พัฒนาศักยภาพบุคคลากรด้านการเกษตรและผู้ประกอบการ</t>
  </si>
  <si>
    <t xml:space="preserve"> (8) ปรับปรุงห้องน้ำ-ห้องส้วม </t>
  </si>
  <si>
    <t xml:space="preserve"> (7) ปรับปรุงซ่อมแซมอาคารศูนย์ข้อมูลเกษตรกรรม </t>
  </si>
  <si>
    <t xml:space="preserve"> (5) เครื่องสูบน้ำ 4 จังหวะ ขนาด 7 แรงม้า พร้อมอุปกรณ์ </t>
  </si>
  <si>
    <t xml:space="preserve"> (4) เครื่องตัดหญ้าข้อเหวี่ยง 4 จังหวะ </t>
  </si>
  <si>
    <t xml:space="preserve"> (3) รถเข็นตัดหญ้าแบบมีกล่องเก็บ </t>
  </si>
  <si>
    <t xml:space="preserve">(2) รถแทรกเตอร์ชนิดขับเคลื่อน 4 ล้อ ขนาด 40 แรงม้า พร้อมอุปกรณ์ต่อพ่วงเครื่องตัดหญ้า </t>
  </si>
  <si>
    <t xml:space="preserve"> (1) ตู้เชื่อมไฟฟ้าแบบมีหูหิ้ว ขนาด 220 โวลต์ </t>
  </si>
  <si>
    <t xml:space="preserve"> (7) ก่อสร้างศาลาริมน้ำ </t>
  </si>
  <si>
    <t xml:space="preserve"> (5) ก่อสร้างโรงเรือนเพาะชำโครงเหล็กคลุมตาข่าย </t>
  </si>
  <si>
    <t xml:space="preserve"> (4) ก่อสร้างบันไดท่าน้ำ </t>
  </si>
  <si>
    <t xml:space="preserve"> (2) ต่อเติมอาคารพลับพลาทรงงาน </t>
  </si>
  <si>
    <t xml:space="preserve"> (2) โรงเรือนเพาะชำโครงเหล็กคลุมตาข่าย </t>
  </si>
  <si>
    <t xml:space="preserve"> (1) ก่อสร้างโรงกรองน้ำดื่ม RO พร้อมวัสดุอุปกรณ์ </t>
  </si>
  <si>
    <t>ส่งเสริมและพัฒนาการเพาะเลี้ยงสัตว์น้ำจืดสู่มาตรฐาน (GAP)</t>
  </si>
  <si>
    <t>กิจกรรมหลักที่ 1 พัฒนาปัจจัยพื้นฐานผลิตภัณฑ์</t>
  </si>
  <si>
    <t>โครงการส่งเสริมและพัฒนาการผลิตสินค้าเกษตรและผลิตภัณฑ์ชุมชนสู่มาตรฐานสากล</t>
  </si>
  <si>
    <t>เพิ่มพื้นที่สีเขียวในจังหวัดอ่างทอง</t>
  </si>
  <si>
    <t>กิจกรรมหลักที่ 5 รักษาสมดุลธรรมชาติและสิ่งแวดล้อม</t>
  </si>
  <si>
    <t>โครงการชลประทานอ่างทอง</t>
  </si>
  <si>
    <t>แขวงทางหลวงอ่างทอง</t>
  </si>
  <si>
    <t>กิจกรรมหลักที่ 3 ปรับปรุงและพัฒนาโครงสร้างพื้นฐาน</t>
  </si>
  <si>
    <t>พอเพียงเพื่อพ่อ</t>
  </si>
  <si>
    <t>กิจกรรมหลักที่ 2 ส่งเสริมอาชีพ สร้างโอกาส สร้างรายได้ ของประชาชน</t>
  </si>
  <si>
    <t>ค่ายปรับเปลี่ยนพฤติกรรม (ศูนย์ขวัญแผ่นดิน)</t>
  </si>
  <si>
    <t>ศอ.ปส.จ.อท</t>
  </si>
  <si>
    <t>กิจกรรมหลักที่ 1 เสริมสร้างความปลอดภัยในชีวิตและทรัพย์สิน</t>
  </si>
  <si>
    <t>ประเด็นยุทธศาสตร์ที่ 1 พัฒนาเมืองน่าอยู่ สู่สังคมมั่นคง และเป็นสุข</t>
  </si>
  <si>
    <t>งบลงทุน</t>
  </si>
  <si>
    <t>งบดำเนินงาน</t>
  </si>
  <si>
    <t>รวม</t>
  </si>
  <si>
    <t>งบประมาณ (บาท)</t>
  </si>
  <si>
    <t>ประเด็นยุทธศาสตร์/
โครงการตามแผนพัฒนาจังหวัด</t>
  </si>
  <si>
    <t>โครงการตามแผนปฏิบัติราชการประจำปี พ.ศ. 2562 ของจังหวัดอ่างทอง</t>
  </si>
  <si>
    <t>ตำรวจภูธรจังหวัดอ่างทอง</t>
  </si>
  <si>
    <t xml:space="preserve">ก่อสร้างสะพานคอนกรีตเสริมเหล็ก หมู่ที่ 2 ตำบลตลาดกรวด อำเภอเมืองอ่างทอง จังหวัดอ่างทอง </t>
  </si>
  <si>
    <t>ก่อสร้างถนนคอนกรีตเสริมเหล็กพร้อมรางระบายน้ำคอนกรีตเสริมเหล็ก บริเวณที่ว่าการอำเภอโพธิ์ทอง อำเภอโพธิ์ทอง จังหวัดอ่างทอง</t>
  </si>
  <si>
    <t>หน่วยดำเนินการ</t>
  </si>
  <si>
    <t>โครงการส่งเสริมและพัฒนาจังหวัดอ่างทองให้เป็นเมืองน่าอยู่ 
สู่สังคมมั่นคง และเป็นสุข</t>
  </si>
  <si>
    <t>ป้องกันและแก้ไขปัญหายาเสพติด (No place For Drug)</t>
  </si>
  <si>
    <t>ขับเคลื่อนชมรม To be number one จังหวัดอ่างทอง</t>
  </si>
  <si>
    <t>ศอ.ปส.จ.อท.</t>
  </si>
  <si>
    <t>ค่ายปลูกจิตสำนึก พัฒนาศักยภาพคืนคนดีสู่สังคมอย่างยั่งยืน</t>
  </si>
  <si>
    <t>สนง.คุมประพฤติจังหวัด</t>
  </si>
  <si>
    <t>ป้องกันและแก้ไขปัญหายาเสพติดในสถานประกอบการ</t>
  </si>
  <si>
    <t>สนง.สวัสดิการและคุ้มครองแรงงานจังหวัดอ่างทอง</t>
  </si>
  <si>
    <t>สนง.พัฒนาชุมชนจังหวัด</t>
  </si>
  <si>
    <t>ก่อสร้างท่อระบายน้ำพร้อมคันหินทางเท้า จากแยกถนนเทศบาล 6 
ถึงถนนเทศบาล 1 ตำบลตลาดหลวง อำเภอเมืองอ่างทอง จังหวัดอ่างทอง</t>
  </si>
  <si>
    <t>อ.เมืองอ่างทอง</t>
  </si>
  <si>
    <t xml:space="preserve">ก่อสร้างถนนคอนกรีตเสริมเหล็กพร้อมขยายเขตไฟฟ้าสาธารณะและไฟส่องสว่าง บริเวณอาคารพิพิธภัณฑ์เรือนไทย หมู่ที่ 6 ตำบลไผ่ดำพัฒนา อำเภอวิเศษชัยชาญ จังหวัดอ่างทอง </t>
  </si>
  <si>
    <t>ก่อสร้างสะพานคอนกรีตเสริมเหล็ก หมู่ที่ 8 ตำบลศาลเจ้าโรงทอง 
อำเภอวิเศษชัยชาญ จังหวัดอ่างทอง</t>
  </si>
  <si>
    <t>อ.วิเศษชัยชาญ</t>
  </si>
  <si>
    <t>อ..โพธิ์ทอง</t>
  </si>
  <si>
    <t xml:space="preserve">ก่อสร้างถนนคอนกรีตเสริมเหล็ก หมู่ที่ 11 ตำบลรำมะสัก อำเภอโพธิ์ทอง เชื่อมต่อ หมู่ที่ 8 ตำบลวังน้ำเย็น และหมู่ที่ 9 ตำบลสีบัวทอง อำเภอแสวงหา จังหวัดอ่างทอง </t>
  </si>
  <si>
    <t xml:space="preserve">ปรับปรุงถนน คสล. โดยลาดยางแอสฟัลท์ติก หมู่ที่ 5 บริเวณถนนไปทาง
ศาลเจ้าแม่สายบัว ตำบลโรงช้าง อำเภอป่าโมก จังหวัดอ่างทอง </t>
  </si>
  <si>
    <t>อ.ไชโย</t>
  </si>
  <si>
    <t>ติดตั้งไฟฟ้าแสงสว่างทางหลวงหมายเลข 309 ตอนควบคุม 0202 
(ตอนแยกที่ดิน-ไชโย)</t>
  </si>
  <si>
    <t>กิจกรรมหลักที่ 4 บริหารจัดการน้ำแบบบูรณาการ</t>
  </si>
  <si>
    <t>ปรับปรุงคันป้องกันน้ำท่วมบริเวณชุมชนบ้านรอ ตำบลบางแก้ว ถึงประตูน้ำ
คลองบางแก้ว หมู่ที่ 10 ตำบลบ้านอิฐ อำเภอเมืองอ่างทอง จังหวัดอ่างทอง</t>
  </si>
  <si>
    <t>สนง.โยธาธิการและผังเมือง
จังหวัด</t>
  </si>
  <si>
    <t>ขุดลอกคลองบ้านลาดตาล ตำบลสาวรองไห้ อำเภอวิเศษชัยชาญ จังหวัดอ่างทอง</t>
  </si>
  <si>
    <t>โครงการชลประทาน</t>
  </si>
  <si>
    <t xml:space="preserve">งานขุดลอกหนองกระทุ่ม ตำบลบ่อแร่ อำเภอโพธิ์ทอง จังหวัดอ่างทอง </t>
  </si>
  <si>
    <t xml:space="preserve">ก่อสร้างระบบกระจายน้ำชนิดคูส่งน้ำดาดคอนกรีต เพื่อช่วยเหลือพื้นที่เกษตรกรรม หมู่ที่ 1 ตำบลรำมะสัก อำเภอโพธิ์ทอง จังหวัดอ่างทอง </t>
  </si>
  <si>
    <t>บริหารจัดการขยะและของเสียอันตรายอย่างมีส่วนร่วม</t>
  </si>
  <si>
    <t>สนง.ทรัพยากรธรรมชาติ
และสิ่งแวดล้อมจังหวัด</t>
  </si>
  <si>
    <t>ป้องกันและแก้ไขปัญหาคุณภาพน้ำในแหล่งน้ำธรรมชาติ</t>
  </si>
  <si>
    <t>ประเด็นยุทธศาสตร์ที่ 2 พัฒนาผลิตภัณฑ์สู่ระดับมาตรฐานสากล</t>
  </si>
  <si>
    <t>สนง.ประมงจังหวัด</t>
  </si>
  <si>
    <t>ส่งเสริมและพัฒนาฟาร์มตัวอย่างตามพระราชดำริในสมเด็จพระนางเจ้าสิริกิติ์ฯ พระบรมราชินีนาถ ตำบลสีบัวทอง อำเภอแสวงหา จังหวัดอ่างทอง</t>
  </si>
  <si>
    <t>สนง.เกษตรและสหกรณ์จังหวัดอ่างทอง</t>
  </si>
  <si>
    <t xml:space="preserve"> (1) ปรับปรุงอาคารเฉลิมพระเกียรติ 74 พรรษา สมเด็จพระนางเจ้าสิริกิติ์พระบรมราชินีนาถ 
หมู่ที่ 8 (หนองคลองหนองล้น)  ตำบลโพสะ อำเภอเมืองอ่างทอง จังหวัดอ่างทอง</t>
  </si>
  <si>
    <t>สนง.สาธารณสุขจังหวัด</t>
  </si>
  <si>
    <t>สนับสนุนการดำเนินงานของศพก./แปลงใหญ่ จังหวัดอ่างทอง</t>
  </si>
  <si>
    <t>สนง.เกษตรจังหวัด</t>
  </si>
  <si>
    <t>ส่งเสริมและพัฒนาการแปรรูปและผลิตภัณฑ์สู่มาตรฐาน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</si>
  <si>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</si>
  <si>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</si>
  <si>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สนง.การท่องเที่ยวและกีฬาจังหวัด</t>
  </si>
  <si>
    <t xml:space="preserve"> - อำเภอสามโก้
 - อำเภอป่าโมก</t>
  </si>
  <si>
    <t>ที่ทำการปกครองจังหวัด</t>
  </si>
  <si>
    <t>สำนักงานประมงจังหวัด</t>
  </si>
  <si>
    <t>สนง.เกษตรและสหกรณ์จังหวัด</t>
  </si>
  <si>
    <t xml:space="preserve"> อำเภอไชโย</t>
  </si>
  <si>
    <t xml:space="preserve">ปรับปรุงถนนคอนกรีตเสริมเหล็ก โดยเสริมผิวแอสฟัลท์ติก ถนนเส้นวัดเชิงหวาย
- แยกหนองเจ็ดเส้น ตำบลหัวไผ่ อำเภอเมืองอ่างทอง จังหวัดอ่างทอง </t>
  </si>
  <si>
    <t>งบประมาณรวมทั้งสิ้น</t>
  </si>
  <si>
    <t>บาท</t>
  </si>
  <si>
    <t>ข้อมูล ณ วันที่ 8 สิงหาคม 2561</t>
  </si>
  <si>
    <t xml:space="preserve"> (3) ก่อสร้างผิวทางพาราแอสฟัลต์คอนกรีต </t>
  </si>
  <si>
    <t xml:space="preserve">ส่งเสริมและพัฒนาฟาร์มตัวอย่างตามพระราชดำริในสมเด็จพระนางเจ้าสิริกิติ์ ฯ พระบรมราชินีนาถ หนองระหารจีน ตำบลบ้านอิฐ อำเภอเมืองอ่างทอง 
จังหวัดอ่างทอง </t>
  </si>
  <si>
    <t xml:space="preserve"> (3) ปรับปรุงโรงเรือนผลิตต้นอ่อน</t>
  </si>
  <si>
    <t xml:space="preserve"> (6) ก่อสร้างผิวทางพาราแอสฟัลต์คอนกรีต </t>
  </si>
  <si>
    <t>ส่งเสริมและพัฒนาพื้นที่แก้มลิงหนองเจ็ดเส้น อันเนื่องมาจากพระราชดำริ 
ตำบลหัวไผ่ อำเภอเมืองอ่างทอง ตำบลสายทอง อำเภอป่าโมก จังหวัดอ่างทอง</t>
  </si>
  <si>
    <t xml:space="preserve"> (6) ปรับปรุงโรงเรือนเพาะเห็ด</t>
  </si>
  <si>
    <t xml:space="preserve">กิจกรรมหลักที่ 3 ยกระดับคุณภาพสินค้าการเกษตรและการแปรรูป
</t>
  </si>
  <si>
    <t xml:space="preserve">ก่อสร้างระบบกระจายน้ำชนิดคูส่งน้ำดาดคอนกรีตเพื่อช่วยเหลือพื้นที่เกษตรกรรม 
หมู่ที่ 2 ตำบลรำมะสัก อำเภอโพธิ์ทอง จังหวัดอ่างทอง </t>
  </si>
  <si>
    <t>ปรับปรุงเขื่อนป้องกันตลิ่งริมแม่น้ำเจ้าพระยา บริเวณตั้งแต่ประตูน้ำวัดสนามชัย 
ถึงคันดินของเทศบาล ตำบลตลาดหลวง อำเภอเมืองอ่างทอง จังหวัดอ่างทอง</t>
  </si>
  <si>
    <t xml:space="preserve"> - ก่อสร้างโรงสูบน้ำ</t>
  </si>
  <si>
    <t xml:space="preserve"> - เครื่องสูบน้ำแบบ Vertical turbine pump มีความสามารถสูบน้ำได้ไม่น้อยกว่า 600 ลบ.ม./ชั่วโมง 
ที่ HEAD 15 เมตร และตามคุณลักษณะทั่วไป จำนวน 3 ชุด</t>
  </si>
  <si>
    <t xml:space="preserve">ป้องกันและแก้ไขปัญหาอุทกภัย โดยการจัดหาพร้อมติดตั้งเครื่องสูบน้ำ
แบบ Vertical turbine pump
</t>
  </si>
  <si>
    <t xml:space="preserve">ก่อสร้างระบบประปาหมู่บ้านขนาดใหญ่ หมู่ที่ 5 ตำบลสายทอง อำเภอป่าโมก 
จังหวัดอ่างทอง </t>
  </si>
  <si>
    <t xml:space="preserve">ปรับปรุงถนน หมู่ที่ 1 ทางเข้าวัดทุ่ง เชื่อมต่อ ทล.309 โดยปูยางแอสฟัลท์ติกคอนกรีต ตำบลบางเสด็จ อำเภอป่าโมก จังหวัดอ่างทอง </t>
  </si>
  <si>
    <t xml:space="preserve">ก่อสร้างถนนคอนกรีตเสริมเหล็กถนนเลียบคลองโพธิ์ด้านทิศตะวันตก หมู่ที่ 2 
ตำบลเอกราช  อำเภอป่าโมก จังหวัดอ่างทอง </t>
  </si>
  <si>
    <t>ซ่อมสร้างถนนผิวจราจรแอสฟัลท์ติกคอนกรีตหน้าวัดชัยสิทธาราม - สายเอเชีย  
หมู่ที่ 2-5 ตำบลชัยฤทธิ์ อำเภอไชโย จังหวัดอ่างทอง</t>
  </si>
  <si>
    <t xml:space="preserve">ซ่อมสร้างผิวทางแอสฟัลท์ติกคอนกรีต สายทาง  อท.ถ. 01-023  
บ้านเพชร - บ้านพวงทอง อำเภอแสวงหา จังหวัดอ่างทอง </t>
  </si>
  <si>
    <t>ซ่อมสร้างผิวทางแอสฟัลท์ติกคอนกรีต สายทาง อท.ถ. 01-031 
บ้านพราน -  บ้านหนองจิก อำเภอแสวงหา จังหวัดอ่างทอง</t>
  </si>
  <si>
    <t>ซ่อมสร้างถนนคอนกรีตเสริมเหล็ก สายสุดเขตหมู่ที่ 2 ตำบลราษฎรพัฒนา 
อำเภอสามโก้ เชื่อมเขตติดต่อ ตำบลยี่ล้น อำเภอวิเศษชัยชาญ 
จังหวัดอ่างทอง</t>
  </si>
  <si>
    <t xml:space="preserve">ก่อสร้างถนนคอนกรีตเสริมเหล็ก หมู่ 11 ตำบลม่วงเตี้ย อำเภอวิเศษชัยชาญ 
เชื่อมต่อ หมู่ 1 ตำบลยางช้าย อำเภอโพธิ์ทอง จังหวัดอ่างทอง </t>
  </si>
  <si>
    <t xml:space="preserve">"จังหวัดอ่างทอง" </t>
  </si>
  <si>
    <t>ที่</t>
  </si>
  <si>
    <t>โครงการ/กิจกรรม</t>
  </si>
  <si>
    <t>หน่วยงาน
ดำเนินการ</t>
  </si>
  <si>
    <t>รวม 2 ประเด็นยุทธศาสตร์</t>
  </si>
  <si>
    <t>กิจกรรมหลัก พัฒนาฟื้นฟูแหล่งท่องเที่ยว</t>
  </si>
  <si>
    <t>สนง.โยธาธิการและ
ผังเมืองจังหวัดอ่างทอง</t>
  </si>
  <si>
    <t xml:space="preserve">โครงการเพิ่มศักยภาพการบริหารจัดการทรัพยากรน้ำแบบบูรณาการ 
กลุ่มจังหวัดภาคกลางตอนบน </t>
  </si>
  <si>
    <t xml:space="preserve">ก่อสร้างกำแพงดินรอบพิพิธภัณฑ์บ้านเรือนไทย ตำบลไผ่ดำพัฒนา อำเภอวิเศษชัยชาญ จังหวัดอ่างทอง </t>
  </si>
  <si>
    <t>ประเด็นยุทธศาสตร์ที่ 3 บริหารทรัพยากรน้ำและรักษามลภาวะสิ่งแวดล้อมที่มีคุณภาพ รวมทั้งสร้างมูลค่าเพิ่มจากผักตบชวาวัชพืช 
โดยใช้นวัตกรรม</t>
  </si>
  <si>
    <t>กิจกรรมหลัก ก่อสร้าง/ปรับปรุงระบบป้องกันน้ำท่วมพื้นที่ชุมชน/
เขื่อนป้องกันตลิ่ง</t>
  </si>
  <si>
    <t xml:space="preserve"> ก่อสร้างระบบป้องกันน้ำท่วมพื้นที่ชุมชนบริเวณริมคลองลำท่าแดง
ถึงถนนเทศบาล 16 อำเภอเมืองอ่างทอง จังหวัดอ่างทอง </t>
  </si>
  <si>
    <t xml:space="preserve">ก่อสร้างอาคารป้องกันตลิ่ง หน้าวัดวังน้ำเย็น ตำบลวังน้ำเย็น 
อำเภอแสวงหา จังหวัดอ่างทอง </t>
  </si>
  <si>
    <t>โครงการพัฒนาปรับปรุงสิ่งอำนวยความสะดวกความปลอดภัยและ
ฟื้นฟูแหล่งท่องเที่ยวประวัติศาสตร์ วัฒนธรรม และท่องเที่ยววิถีชุมชน
ลุ่มแม่น้ำเจ้าพระยาป่าสัก</t>
  </si>
  <si>
    <t>งบประมาณรวม
(บาท)</t>
  </si>
  <si>
    <t>งบลงทุน
(บาท)</t>
  </si>
  <si>
    <t>งบดำเนินงาน
(บาท)</t>
  </si>
  <si>
    <t>โครงการพัฒนากลุ่มจังหวัดภาคกลางตอนบน  ประจำปีงบประมาณ พ.ศ. 2562</t>
  </si>
  <si>
    <t>อ.โพธิ์ทอง</t>
  </si>
  <si>
    <t xml:space="preserve">อ.เมืองอ่างทอง </t>
  </si>
  <si>
    <t>อ.สามโก้</t>
  </si>
  <si>
    <t xml:space="preserve">อ.ป่าโมก </t>
  </si>
  <si>
    <t>อ.แสวงหา</t>
  </si>
  <si>
    <t>ซ่อมแซมถนนคอนกรีตเสริมเหล็กปูทับด้วยแอสฟัลท์ติกคอนกรีต 
สายเลียบคลองบางปลากด หมู่ 4 ถึงหมู่ที่ 5  ตำบลเอกราช 
อำเภอป่าโมก จังหวัดอ่างทอง</t>
  </si>
  <si>
    <t>อ.ป่าโมก</t>
  </si>
  <si>
    <t xml:space="preserve">อ.วิเศษชัยชาญ </t>
  </si>
  <si>
    <t>ก่อสร้างระบบประปาหมู่บ้านแบบบาดาลขนาดใหญ่ หมู่ 6 ตำบลเทวราช 
อำเภอไชโย จังหวัดอ่างทอง</t>
  </si>
  <si>
    <t>สนับสนุนการดำเนินงาน ร.ร.เกษตรกรไม้ผล และ ร.ร.พืชผัก เพื่อให้เกษตรกร
ผลิตไม้ผลอย่างปลอดภัย</t>
  </si>
  <si>
    <t>การพัฒนาศักยภาพและเพิ่มขีดความสามารถให้แก่เกษตรกร/ผู้ประกอบการ
ผลิตภัณฑ์สินค้าปลอดภัย</t>
  </si>
  <si>
    <r>
      <rPr>
        <sz val="16"/>
        <color rgb="FF002060"/>
        <rFont val="TH SarabunPSK"/>
        <family val="2"/>
      </rPr>
      <t>ป้องกันและแก้ไขปัญหาอุทกภัย โดยการจัดหาพร้อมติดตั้งเครื่องสูบน้ำ
แบบ Vertical turbine pump</t>
    </r>
    <r>
      <rPr>
        <sz val="16"/>
        <color theme="1"/>
        <rFont val="TH SarabunPSK"/>
        <family val="2"/>
      </rPr>
      <t xml:space="preserve">
</t>
    </r>
  </si>
  <si>
    <t>ส่งเสริมและพัฒนาฟาร์มตัวอย่างตามพระราชดำริในสมเด็จพระนางเจ้าสิริกิติ์พระบรมราชินีนาถ ตำบลสีบัวทอง อำเภอแสวงหา จังหวัดอ่างทอง</t>
  </si>
  <si>
    <t xml:space="preserve">ส่งเสริมและพัฒนาฟาร์มตัวอย่างตามพระราชดำริในสมเด็จพระนางเจ้าสิริกิติ์พระบรมราชินีนาถ หนองระหารจีน ตำบลบ้านอิฐ อำเภอเมืองอ่างทอง 
จังหวัดอ่างทอง </t>
  </si>
  <si>
    <t>ส่งเสริมและพัฒนาพื้นที่แก้มลิงหนองเจ็ดเส้น อันเนื่องมาจากพระราชดำริ
ตำบลหัวไผ่ อำเภอเมืองอ่างทอง ตำบลสายทอง อำเภอป่าโมก จังหวัดอ่างทอง</t>
  </si>
  <si>
    <t xml:space="preserve"> (4) เครื่องตัดหญ้าข้อแข็ง 4 จังหวะ </t>
  </si>
  <si>
    <t>ซ่อมสร้างผิวทางแอสฟัลท์ติกคอนกรีต สายทาง อท.ถ. 01-031 
บ้านพราน -  บ้านหนองจิก อำเภอแสวงหา จังหวัดอ่างทอง (9,984,000 บาท)</t>
  </si>
  <si>
    <t>ยกเลิก</t>
  </si>
  <si>
    <t>ขุดลอกหนองคชบาล พร้อมเสริมคันดิน</t>
  </si>
  <si>
    <t>ขุดลอกหนองสามง่ามเหนือ พร้อมเสริมคันดิน</t>
  </si>
  <si>
    <t>ขุดลอกหนองสามง่ามใต้ พร้อมเสริมคันดิน</t>
  </si>
  <si>
    <t>สนง.เกษตรและสหกรณ์
จังหวัดอ่างทอง</t>
  </si>
  <si>
    <t>แหล่งงบประมาณ</t>
  </si>
  <si>
    <t>งบประมาณรวม</t>
  </si>
  <si>
    <t>งบพัฒนาจังหวัด</t>
  </si>
  <si>
    <t>งบพัฒนากลุ่มจังหวัด</t>
  </si>
  <si>
    <t>รวมทั้งสิ้น</t>
  </si>
  <si>
    <t>โครงการตามแผนปฏิบัติราชการประจำปีงบประมาณ พ.ศ. 2562</t>
  </si>
  <si>
    <t>ประเด็นยุทธศาสตร์ที่ 2 ฟื้นฟูและยกระดับแหล่งท่องเที่ยว 
กิจกรรม ท่องเที่ยวผลิตภัณฑ์ชุมชนและปรับปรุงสิ่งอำนวยความสะดวกความปลอดภัยให้ได้มาตรฐานสากลเพื่อสร้างความประทับใจ
แก่นักท่องเที่ยว</t>
  </si>
  <si>
    <t>ก่อสร้างถนนคอนกรีตเสริมเหล็กพร้อมรางระบายน้ำคอนกรีตเสริมเหล็ก 
บริเวณที่ว่าการอำเภอโพธิ์ทอง อำเภอโพธิ์ทอง จังหวัดอ่างทอง</t>
  </si>
  <si>
    <t>โครงการปรับแผนการปฏิบัติงานและแผนการใช้จ่ายงบประมาณ</t>
  </si>
  <si>
    <t>วงเงินในสัญญาจ้าง</t>
  </si>
  <si>
    <t>สถานะโครงการ</t>
  </si>
  <si>
    <t>สัญญา เริ่มต้น-สิ้นสุด</t>
  </si>
  <si>
    <t>ผู้รับจ้าง</t>
  </si>
  <si>
    <t>ผลการดำเนินงาน</t>
  </si>
  <si>
    <t>เหลือจ่ายจากการก่อหนี้ผูกพัน</t>
  </si>
  <si>
    <t>เบิกจ่าย
(บาท)</t>
  </si>
  <si>
    <t>คงเหลือ
(บาท)</t>
  </si>
  <si>
    <t>ร้อยละ</t>
  </si>
  <si>
    <t>ผลการเบิกจ่าย</t>
  </si>
  <si>
    <t>เงินเหลือจ่าย</t>
  </si>
  <si>
    <t>แผนการใช้จ่ายงบประมาณ รายการค่าใช้จ่ายในการบริหาร</t>
  </si>
  <si>
    <t>จังหวัดแบบบูรณาการ ประจำปีงบประมาณ พ.ศ. 2562 (งบ 8 ล้านบาท)</t>
  </si>
  <si>
    <t>งบประจำปีงบประมาณ</t>
  </si>
  <si>
    <t>(1) ดำเนินการทบทวนแผนพัฒนาจังหวัดอ่างทอง (5 ปี) 
พ.ศ. 2561 - 2565 (ฉบับทบทวน)</t>
  </si>
  <si>
    <t>(2) ดำเนินการจัดทำแผนปฏิบัติราชการประจำปีของจังหวัดอ่างทอง</t>
  </si>
  <si>
    <t>(3) ค่าวัสดุสำนักงาน ค่าวิทยากร ค่าอาหารจัดประชุม ค่าจ้างเหมาจัดทำ
เอกสาร และงานอำนวยการแผนพัฒนาจังหวัด</t>
  </si>
  <si>
    <t>(4) ค่าเดินทางไปราชการ</t>
  </si>
  <si>
    <t>2. การจัดประชุม ก.บ.จ. หรือ ก.บ.ก. หรือ กรอ.จังหวัด</t>
  </si>
  <si>
    <t>2.1 กิจกรรมอำนวยการประชุมคณะกรรมการบริหารงานจังหวัด
แบบบูรณาการ(ก.บ.จ.)คณะกรรมการบริหารงานกลุ่มจังหวัดแบบบูรณาการ(ก.บ.ก.) และคณะกรรมการร่วมภาครัฐและเอกชนเพื่อแก้ไขปัญหาเศรษฐกิจ
ของจังหวัด (กรอ.จังหวัด)ประจำปีงบประมาณ พ.ศ. 2562</t>
  </si>
  <si>
    <t>(1) ค่าเบี้ยประชุมคณะกรรมการ ก.บ.จ.อ่างทอง</t>
  </si>
  <si>
    <t>(2) ค่าอาหารว่างและเครื่องดื่ม</t>
  </si>
  <si>
    <t>(3) ค่าจ้างเหมาจัดทำเอกสาร</t>
  </si>
  <si>
    <t>3. การศึกษาเพื่อพัฒนาจังหวัดตามประเด็นการพัฒนาของจังหวัดและกลุ่มจังหวัด</t>
  </si>
  <si>
    <t xml:space="preserve">3.1 กิจกรรมดำเนินการขับเคลื่อนยุทธศาสตร์การพัฒนาจังหวัดอ่างทอง </t>
  </si>
  <si>
    <t>4. การพัฒนาประสิทธิภาพในการบริหารจัดการ</t>
  </si>
  <si>
    <t>4.1 กิจกรรมเสริมสร้างการบริหารจัดการภาครัฐ</t>
  </si>
  <si>
    <t xml:space="preserve">(1) การดำเนินการเสริมสร้างความรู้ ความเข้าใจเรื่องการจัดทำแผนพัฒนาจังหวัดและระบบฐานข้อมูลในการจัดทำยุทธศาสตร์การพัฒนาจังหวัดสู่ระบบราชการ 4.0 </t>
  </si>
  <si>
    <t>(2) ดำเนินงานตามตัวชี้วัดและการพัฒนาคุณภาพการบริหารจัดการภาครัฐ</t>
  </si>
  <si>
    <t>4.2 กิจกรรมอำนวยการบริหารงานจังหวัดแบบบูรณาการจังหวัดอ่างทองประจำปีงบประมาณ พ.ศ. ๒๕62</t>
  </si>
  <si>
    <t>(1) ค่าใช้จ่ายในการจัดงานรัฐพิธี</t>
  </si>
  <si>
    <t>(2) ค่าน้ำมันเชื้อเพลิง</t>
  </si>
  <si>
    <t>ผวจ. 12*20,000 บาท รอง ผวจ. 2*12*13,000 บาท
สนจ. 12*24,000 บาท</t>
  </si>
  <si>
    <t>(3) ค่าวัสดุสำนักงาน 12*23,000 บาท</t>
  </si>
  <si>
    <t>(5) ค่าซ่อมแซมครุภัณฑ์สำนักงาน</t>
  </si>
  <si>
    <t>(6) ค่าซ่อมแซมรถยนต์</t>
  </si>
  <si>
    <t>(7) ค่าอาหาร อาหารว่าง จัดประชุมค่าจ้างเหมาจัดทำเอกสาร 
และงานอำนวยการบูรณาการทั่วไปของจังหวัด</t>
  </si>
  <si>
    <t>(7) ค่าเช่าเครื่องถ่ายเอกสาร 1 เครื่องๆ ละ ๑๒ เดือน ๆ ละ 13,๐๐๐บาท</t>
  </si>
  <si>
    <t>(3) วุฒิปริญาตรีช่วยงานระบบเอกสารอิเลคทรอนิกส์และบริหารงานทั่วไป(ประสบการณ์มากกว่า 2ปี) 1 คนๆ ละ 12 เดือนๆ ละ 15,000 บาท</t>
  </si>
  <si>
    <t>4.4 กิจกรรมพัฒนาระบบข้อมูลสารสนเทศและ
การสื่อสารเพื่อการบริหารจัดการยุทธศาสตร์
การพัฒนาจังหวัด</t>
  </si>
  <si>
    <t>(1) การประชุมคณะกรรมการและการพัฒนาระบบสารสนเทศและการสื่อสารของจังหวัด</t>
  </si>
  <si>
    <t>(2) พัฒนาระบบสารสนเทศและการสื่อสารของจังหวัด</t>
  </si>
  <si>
    <t>4.5 กิจกรรมของส่วนราชการที่ได้รับอนุมัติจากผู้ว่าราชการจังหวัดอ่างทอง</t>
  </si>
  <si>
    <t>5.1 กิจกรรมของส่วนราชการที่ได้รับอนุมัติจากผู้ว่าราชการจังหวัด</t>
  </si>
  <si>
    <t>6.การติดตามประเมินผล</t>
  </si>
  <si>
    <t>6.1 กิจกรรมค่าใช้จ่ายในการติดตามประเมินผล
การดำเนินงานตามแผนพัฒนาจังหวัดอ่างทอง</t>
  </si>
  <si>
    <t>(1) ค่าน้ำมันเชื้อเพลิง ผวจ. 12*10,000 บาท
รอง ผวจ. 2*12*8,000 บาท สนจ. 12*8,000 บาท</t>
  </si>
  <si>
    <t>(2) ค่าวัสดุสำนักงาน 12*23,000 บาท</t>
  </si>
  <si>
    <t>(3) ค่าเดินทางไปราชการ</t>
  </si>
  <si>
    <t>(4) ค่าซ่อมแซมครุภัณฑ์สำนักงาน</t>
  </si>
  <si>
    <t>(5) ค่าซ่อมแซมรถยนต์</t>
  </si>
  <si>
    <t>(6) ค่าวิทยากร ค่าอาหารจัดประชุมค่าจ้างเหมาจัดทำเอกสาร และงานอำนวยการติดตามยุทธศาสตร์ของจังหวัด</t>
  </si>
  <si>
    <t>(7) ค่าเช่าเครื่องถ่ายเอกสาร 1เครื่องๆ ละ ๑๒เดือน ๆ ละ ๑3,๐๐๐ บาท</t>
  </si>
  <si>
    <t>งบประมาณ</t>
  </si>
  <si>
    <t>4.3 กิจกรรมจัดหาบุคลากรเพื่อสนับสนุนการบริหารจัดการตามยุทธศาสตร์การพัฒนาจังหวัดอ่างทองประจำปีงบประมาณ พ.ศ. 2562 (9 คน)</t>
  </si>
  <si>
    <t>(1) วุฒิปริญาตรีช่วยงานการเงินงบประจำ (เริ่มงานปีแรก) 
 1 คนๆ ละ 12 เดือนๆ ละ 13,000 บาท</t>
  </si>
  <si>
    <t>(2) วุฒิปริญาตรีช่วยงานการเงินงบจังหวัดกลุ่มจังหวัด (ประสบการณ์มากกว่า 1 ปี) 1 คนๆ ละ 12 เดือนๆ ละ 14,000 บาท</t>
  </si>
  <si>
    <t>(4) วุฒิปริญาตรีช่วยงานยุทธศาสตร์
(ประสบการณ์มากกว่า 2 ปี) 2 คนๆ ละ 12 เดือนๆ ละ 15,000 บาท</t>
  </si>
  <si>
    <t xml:space="preserve">(5) วุฒิ ปวส.ช่วยงานธุรการทั่วไป 2 
 - ประสบการณ์มากกว่า 2 ปี 1 คนๆ ละ 12 เดือนๆ ละ 11,790 บาท เป็นเงิน 141,480 บาท
 - เริ่มงานปีแรก 1 คน 12 เดือนๆ ละ 11,150 บาท
เป็นเงิน 133,800 บาท </t>
  </si>
  <si>
    <t>(6) วุฒิปวส. ขับรถยนต์ 2 คนๆ ละ 12 เดือนๆ ละ 12,000 บาท</t>
  </si>
  <si>
    <t>5.การเผยแพร่ประชาสัมพันธ์เพื่อให้เกิดความรู้ความเข้าใจแก่ภาคส่วนต่างๆ เพื่อเข้ามามีส่วนร่วมในการจัดทำแผน รวมทั้งเพื่อสนับสนุนเพื่อขับเคลื่อนการดำเนินการตามแผน</t>
  </si>
  <si>
    <t>งบประมาณที่ได้รับจัดสรร (บาท)</t>
  </si>
  <si>
    <t>เบิจจ่าย
(บาท)</t>
  </si>
  <si>
    <t>1. การสำรวจความคิดเห็นของประชาชน ตามมาตรา 18 แห่งพระราชกฤษฎีกาว่าด้วยการบริหารงานจังหวัดและกลุ่มจังหวัดแบบบูรณาการ พ.ศ. 2551 และการจัดประชุมหารือเพื่อจัดทำแผนการพัฒนาจังหวัดและกลุ่มจังหวัดกับภาคส่วนต่างๆ ตามมาตรา 53/1 และมาตรา 53/2 แห่งพระราชบัญญัติระเบียบบริหารราชการแผ่นดิน พ.ศ. 2534 
และที่แก้ไขเพิ่มเติม</t>
  </si>
  <si>
    <t>1.1 กิจกรรมบริหารจัดการแผนพัฒนาจังหวัดอ่างทอง ประจำปีงบประมาณ พ.ศ. 2562</t>
  </si>
  <si>
    <t>หน่วยงานที่รับผิดชอบ</t>
  </si>
  <si>
    <t>เหลือจ่าย
(บาท)</t>
  </si>
  <si>
    <t>สนง.วัฒนธรรมจังหวัด</t>
  </si>
  <si>
    <t xml:space="preserve"> (1) ปรับปรุงอาคารเฉลิมพระเกียรติ 74 พรรษา สมเด็จพระนางเจ้าสิริกิติ์พระบรมราชินีนาถ หมู่ที่ 8 (หนองคลองหนองล้น)  ตำบลโพสะ อำเภอเมืองอ่างทอง จังหวัดอ่างทอง</t>
  </si>
  <si>
    <t xml:space="preserve"> 1 โครงการค่ายเยาวชน" สานใจไทย สู่ใจใต้ " รุ่นที่ 34</t>
  </si>
  <si>
    <t xml:space="preserve">ที่ </t>
  </si>
  <si>
    <t>ผลการเบิกจ่ายงบประมาณ</t>
  </si>
  <si>
    <t>หน่วยงานรับผิดชอบ</t>
  </si>
  <si>
    <t>เบิกจ่าย(บาท)</t>
  </si>
  <si>
    <t>คงเหลือ(บาท)</t>
  </si>
  <si>
    <t>สำนักงานจังหวัดอ่างทอง</t>
  </si>
  <si>
    <t>โครงการบริหารงานกลุ่มจังหวัดแบบบูรณาการ กลุ่มจังหวัดภาคกลางตอนบน (ชัยนาท พระนครศรีอยุธยา ลพบุรี สระบุรี สิงห์บุรี และอ่างทอง) ประจำปีงบประมาณ พ.ศ. 2562</t>
  </si>
  <si>
    <t>บัญชีสรุปผลการเบิกจ่ายงบประมาณโครงการบริหารงานกลุ่มจังหวัดแบบบูรณาการ กลุ่มจังหวัดภาคกลางตอนบน
(ชัยนาท พระนครศรีอยุธยา ลพบุรี สระบุรี สิงห์บุรี และอ่างทอง)
ประจำปีงบประมาณ พ.ศ. 2562 ในส่วนจังหวัดอ่างทอง</t>
  </si>
  <si>
    <t xml:space="preserve">                                                                                                                                               </t>
  </si>
  <si>
    <t>เริ่ม1 พ.ย.61 ถึง 1 ธ.ค.61</t>
  </si>
  <si>
    <t>ห้างหุ้นส่วนจำกัด
ศรณรงค์ก่อสร้าง</t>
  </si>
  <si>
    <t>เริ่มต้น 7 พ.ย. 61 
สิ้นสุด 6 มี.ค. 62</t>
  </si>
  <si>
    <t>อนุมัติโครงการแล้ว</t>
  </si>
  <si>
    <t>แก้ไขเอกสารโครงการ</t>
  </si>
  <si>
    <t>ได้ตัวผู้รับจ้างแล้ว
รอลงนาม</t>
  </si>
  <si>
    <t>แก้ไขปรับเนื้องาน</t>
  </si>
  <si>
    <r>
      <t xml:space="preserve">ติดปัญหา
พื้นที่สาธารณะประโยชน์
</t>
    </r>
    <r>
      <rPr>
        <b/>
        <sz val="13"/>
        <color rgb="FFFF0000"/>
        <rFont val="TH SarabunPSK"/>
        <family val="2"/>
      </rPr>
      <t>(เงินมาแล้ว)</t>
    </r>
  </si>
  <si>
    <r>
      <t xml:space="preserve">ลงนามสัญญาแล้ว
</t>
    </r>
    <r>
      <rPr>
        <b/>
        <sz val="13"/>
        <color rgb="FFFF0000"/>
        <rFont val="TH SarabunPSK"/>
        <family val="2"/>
      </rPr>
      <t>(เงินมาแล้ว)</t>
    </r>
  </si>
  <si>
    <t xml:space="preserve">ปรับปรุงถนน หมู่ที่ 1 ทางเข้าวัดทุ่ง เชื่อมต่อ ทล.309 โดยปูยางแอสฟัลท์ติก
คอนกรีต ตำบลบางเสด็จ อำเภอป่าโมก จังหวัดอ่างทอง </t>
  </si>
  <si>
    <t>เริ่มต้น 1 พ.ย. 61
สิ้นสุด 29 ม.ค. 62</t>
  </si>
  <si>
    <t xml:space="preserve">ห้างหุ้นส่วนจำกัด 
บางจักการโยธา
</t>
  </si>
  <si>
    <t>เริ่มต้น 19 ต.ค. 61
สิ้นสุด 17 ธ.ค. 61</t>
  </si>
  <si>
    <t xml:space="preserve">บริษัท พรีเมียร์ 
ไลท์ติ้ง จำกัด
</t>
  </si>
  <si>
    <t>เริ่มต้น 18 ต.ค. 61
สิ้นสุด 6 เม.ย. 62</t>
  </si>
  <si>
    <t xml:space="preserve">ห้างหุ้นส่วนจำกัด 
อุดรเพทาย
</t>
  </si>
  <si>
    <t>อยู่ระหว่างพิจารณาผล</t>
  </si>
  <si>
    <r>
      <t xml:space="preserve">อยู่ระหว่างกำหนดราคากลาง
</t>
    </r>
    <r>
      <rPr>
        <b/>
        <sz val="13"/>
        <color rgb="FFFF0000"/>
        <rFont val="TH SarabunPSK"/>
        <family val="2"/>
      </rPr>
      <t>(เงินมาแล้ว)</t>
    </r>
  </si>
  <si>
    <t>เริ่มต้น 19 ต.ค. 61 
สิ้นสุด 17 ธ.ค. 62</t>
  </si>
  <si>
    <t xml:space="preserve">ศศินิษฐา เขียวชอุ่ม
</t>
  </si>
  <si>
    <t>เริ่มต้น 18 ต.ค. 61
สิ้นสุด 16 ธ.ค. 62</t>
  </si>
  <si>
    <t xml:space="preserve">อารีย์ก่อสร้าง
</t>
  </si>
  <si>
    <t xml:space="preserve">ร้านขวัญใจใยบัว
</t>
  </si>
  <si>
    <t>สนง.โยธาธิการและ
ผังเมืองจังหวัด</t>
  </si>
  <si>
    <t>ซ่อมแซมถนนคอนกรีตเสริมเหล็กปูทับด้วยแอสฟัลท์ติกคอนกรีต 
สายเลียบคลองบางปลากด หมู่ที่ 5  ตำบลเอกราช อำเภอป่าโมก 
จังหวัดอ่างทอง</t>
  </si>
  <si>
    <t>ข้อมูล ณ วันที่ 20 พฤศจิกายน 2561</t>
  </si>
  <si>
    <t xml:space="preserve">ก่อสร้างถนนคอนกรีตเสริมเหล็ก หมู่ที่ 11 ตำบลรำมะสัก อำเภอโพธิ์ทอง 
เชื่อมต่อหมู่ที่ 8 ตำบลวังน้ำเย็น และหมู่ที่ 9 ตำบลสีบัวทอง อำเภอแสวงหา จังหวัดอ่างทอง </t>
  </si>
  <si>
    <t>หจก.ศรนรงค์ ก่อสร้าง</t>
  </si>
  <si>
    <t>นางทิพวรรณ 
พุ่มพันธุ์วงษ์</t>
  </si>
  <si>
    <t>2 โครงการเสริมสร้างความเข้มแข็งและเพิ่มประสิทธิภาพด้านการคลัง สำหรับหน่วยงานของรัฐ ในจังหวัดอ่างทอง ประจำปีงบประมาณ พ.ศ. 2562</t>
  </si>
  <si>
    <t>3 โครงการพัฒนาขีดสมรรถนะของผู้บริหารและข้าราชการในจังหวัดอ่างทอง เพื่อเพิ่มประสิทธิภาพการปฏิบัติงานให้รองรับยุทธศาสตร์ชาติ 20 ปี และระบบราชการ 4.0</t>
  </si>
  <si>
    <t>สนง.คลัง</t>
  </si>
  <si>
    <t>ได้ผู้รับจ้างแล้วรอลงนาม</t>
  </si>
  <si>
    <t>หจก.วีเอส 
แมชชิ่ง</t>
  </si>
  <si>
    <t>หจก.ภัทรากรรุ้งเรือง</t>
  </si>
  <si>
    <r>
      <t xml:space="preserve">ลงนามสัญญาจ้าง 
</t>
    </r>
    <r>
      <rPr>
        <b/>
        <sz val="13"/>
        <color rgb="FFFF0000"/>
        <rFont val="TH SarabunPSK"/>
        <family val="2"/>
      </rPr>
      <t>(เงินมาแล้ว)</t>
    </r>
  </si>
  <si>
    <t>ได้ตัวผู้รับจ้างแล้ว 
รอลงนาม</t>
  </si>
  <si>
    <t>เริ่ม 27 พ.ย.61 ถึง 25 ม.ค.61</t>
  </si>
  <si>
    <t>สองฝั่งการเกษตร</t>
  </si>
  <si>
    <t>หจก.MRD วิศวกรรม</t>
  </si>
  <si>
    <t>DND เอ็นจิเนียริ่ง</t>
  </si>
  <si>
    <t>เริ่ม 30 พ.ย.61 ถึง 
28 ม.ค.62</t>
  </si>
  <si>
    <t>หจก. MRD วิศวกรรม</t>
  </si>
  <si>
    <t>เริ่ม1 พ.ย.61 ถึง 
1 ธ.ค.61</t>
  </si>
  <si>
    <t xml:space="preserve">                 </t>
  </si>
  <si>
    <r>
      <t xml:space="preserve">ลงนามสัญญาจ้าง
</t>
    </r>
    <r>
      <rPr>
        <b/>
        <sz val="13"/>
        <color rgb="FFFF0000"/>
        <rFont val="TH SarabunPSK"/>
        <family val="2"/>
      </rPr>
      <t>(เงินมาแล้ว)</t>
    </r>
  </si>
  <si>
    <t xml:space="preserve">ก่อสร้างระบบกระจายน้ำชนิดคูส่งน้ำดาดคอนกรีต เพื่อช่วยเหลือพื้นที่
เกษตรกรรม หมู่ที่ 1 ตำบลรำมะสัก อำเภอโพธิ์ทอง จังหวัดอ่างทอง </t>
  </si>
  <si>
    <t>เริ่ม 1 ธ.ค.61 
ถึง 26 ก.ย.62</t>
  </si>
  <si>
    <t>หจก.
ประสิทธิรุ่งเรือง</t>
  </si>
  <si>
    <t>เริ่ม 28 พ.ย.61 
ถึง 27 เม.ย.62</t>
  </si>
  <si>
    <r>
      <rPr>
        <sz val="13"/>
        <rFont val="TH SarabunPSK"/>
        <family val="2"/>
      </rPr>
      <t>ลงนามสัญญาจ้าง</t>
    </r>
    <r>
      <rPr>
        <sz val="13"/>
        <color rgb="FFFF0000"/>
        <rFont val="TH SarabunPSK"/>
        <family val="2"/>
      </rPr>
      <t xml:space="preserve">
</t>
    </r>
    <r>
      <rPr>
        <b/>
        <sz val="13"/>
        <color rgb="FFFF0000"/>
        <rFont val="TH SarabunPSK"/>
        <family val="2"/>
      </rPr>
      <t>(เงินมาแล้ว)</t>
    </r>
  </si>
  <si>
    <t>หจก. 
ซุ้มบ้านใหญ่</t>
  </si>
  <si>
    <r>
      <t xml:space="preserve">ได้ผู้รับจ้างแล้ว รอลงนาม
</t>
    </r>
    <r>
      <rPr>
        <b/>
        <sz val="13"/>
        <color rgb="FFFF0000"/>
        <rFont val="TH SarabunPSK"/>
        <family val="2"/>
      </rPr>
      <t>(เงินมาแล้ว)</t>
    </r>
  </si>
  <si>
    <t>บ. เพ็ชรอินทร์ก่อสร้างจำกัด</t>
  </si>
  <si>
    <t>อยู่ระหว่างกำหนดราคากลาง</t>
  </si>
  <si>
    <t>หจก.ดิวันคอนสตัคชั่นสุพรรณบุรี</t>
  </si>
  <si>
    <t>JNC 
แมชชิลลี่</t>
  </si>
  <si>
    <t xml:space="preserve">งานรำลึกวีรชนแขวงเมืองวิเศษชัยชาญ </t>
  </si>
  <si>
    <t xml:space="preserve"> - อนุมัติโครงการแล้ว
- อนุมัคิโครงการแล้ว</t>
  </si>
  <si>
    <t>อยู่ระหว่างแก้ไขเอกสาร</t>
  </si>
  <si>
    <r>
      <t xml:space="preserve">ได้ผู้รับจ้างแล้วรอลงนาม
</t>
    </r>
    <r>
      <rPr>
        <b/>
        <sz val="13"/>
        <color rgb="FFFF0000"/>
        <rFont val="TH SarabunPSK"/>
        <family val="2"/>
      </rPr>
      <t>(เงินมาแล้ว)</t>
    </r>
  </si>
  <si>
    <t>หจก.อ่างทองพัฒนา</t>
  </si>
  <si>
    <t>PN โพรมิเน้น จำกัด</t>
  </si>
  <si>
    <t>ประกาศประกวดราคาพิธีพิเศษ</t>
  </si>
  <si>
    <r>
      <t xml:space="preserve">ประกาศประกวดราคาพิธีพิเศษ 
</t>
    </r>
    <r>
      <rPr>
        <b/>
        <sz val="13"/>
        <color rgb="FFFF0000"/>
        <rFont val="TH SarabunPSK"/>
        <family val="2"/>
      </rPr>
      <t>(เงินมาแล้ว)</t>
    </r>
  </si>
  <si>
    <t>พิจารณาผล</t>
  </si>
  <si>
    <t xml:space="preserve"> เริ่ม 15 พ.ย. 61
ถึง 12 ก.พ. 62 </t>
  </si>
  <si>
    <t xml:space="preserve"> หจก. สองฝั่งการเกษตร </t>
  </si>
  <si>
    <t>ลงนามสัญญาจ้าง
(เงินมาแล้ว)</t>
  </si>
  <si>
    <r>
      <t xml:space="preserve">ลงนามสัญญาจ้าง
</t>
    </r>
    <r>
      <rPr>
        <sz val="13"/>
        <color rgb="FFFF0000"/>
        <rFont val="TH SarabunPSK"/>
        <family val="2"/>
      </rPr>
      <t>(เงินมาแล้ว)</t>
    </r>
  </si>
  <si>
    <r>
      <rPr>
        <sz val="13"/>
        <rFont val="TH SarabunPSK"/>
        <family val="2"/>
      </rPr>
      <t xml:space="preserve">ลงนามสัญญาจ้าง
</t>
    </r>
    <r>
      <rPr>
        <sz val="13"/>
        <color rgb="FFFF0000"/>
        <rFont val="TH SarabunPSK"/>
        <family val="2"/>
      </rPr>
      <t xml:space="preserve">(เงินมาแล้ว)
</t>
    </r>
  </si>
  <si>
    <t>เริ่ม 28 พ.ย.61 
ถึง 28 เม.ย.61</t>
  </si>
  <si>
    <t>เริ่ม 21 พ.ย.61 
ถึง 20 เม.ย.61</t>
  </si>
  <si>
    <r>
      <t xml:space="preserve">เสร็จแล้ว
</t>
    </r>
    <r>
      <rPr>
        <sz val="13"/>
        <color rgb="FFFF0000"/>
        <rFont val="TH SarabunPSK"/>
        <family val="2"/>
      </rPr>
      <t>(เงินมาแล้ว)</t>
    </r>
  </si>
  <si>
    <t>ข้อมูล ณ วันที่ 21 ธันวาคม 2561</t>
  </si>
  <si>
    <t xml:space="preserve">อยู่ระหว่างกำหนดราคากลาง
</t>
  </si>
  <si>
    <r>
      <t xml:space="preserve">เสร็จแล้ว
</t>
    </r>
    <r>
      <rPr>
        <b/>
        <sz val="13"/>
        <color rgb="FFFF0000"/>
        <rFont val="TH SarabunPSK"/>
        <family val="2"/>
      </rPr>
      <t>(เงินมาแล้ว)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</si>
</sst>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0_-;\-* #,##0.00_-;_-* &quot;-&quot;_-;_-@_-"/>
    <numFmt numFmtId="190" formatCode="0.000"/>
  </numFmts>
  <fonts count="4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0066FF"/>
      <name val="TH SarabunPSK"/>
      <family val="2"/>
    </font>
    <font>
      <b/>
      <sz val="16"/>
      <color rgb="FF7030A0"/>
      <name val="TH SarabunPSK"/>
      <family val="2"/>
    </font>
    <font>
      <b/>
      <u val="double"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2060"/>
      <name val="TH SarabunPSK"/>
      <family val="2"/>
    </font>
    <font>
      <sz val="13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1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sz val="16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rgb="FFABE9FF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4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dotted">
        <color indexed="64"/>
      </bottom>
      <diagonal/>
    </border>
    <border>
      <left style="thin">
        <color theme="0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theme="0"/>
      </bottom>
      <diagonal/>
    </border>
    <border>
      <left style="thin">
        <color theme="0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hair">
        <color theme="0"/>
      </bottom>
      <diagonal/>
    </border>
    <border>
      <left style="thin">
        <color theme="0"/>
      </left>
      <right/>
      <top style="dotted">
        <color indexed="64"/>
      </top>
      <bottom style="hair">
        <color theme="0"/>
      </bottom>
      <diagonal/>
    </border>
    <border>
      <left/>
      <right style="thin">
        <color indexed="64"/>
      </right>
      <top style="dotted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3">
    <xf numFmtId="0" fontId="0" fillId="0" borderId="0" xfId="0"/>
    <xf numFmtId="0" fontId="2" fillId="0" borderId="0" xfId="0" applyNumberFormat="1" applyFont="1" applyBorder="1" applyAlignment="1">
      <alignment horizontal="center" vertical="top" wrapText="1"/>
    </xf>
    <xf numFmtId="1" fontId="2" fillId="0" borderId="6" xfId="0" applyNumberFormat="1" applyFont="1" applyBorder="1" applyAlignment="1">
      <alignment horizontal="center" vertical="top" wrapText="1"/>
    </xf>
    <xf numFmtId="1" fontId="4" fillId="4" borderId="9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top" wrapText="1"/>
    </xf>
    <xf numFmtId="1" fontId="2" fillId="4" borderId="4" xfId="0" applyNumberFormat="1" applyFont="1" applyFill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5" fillId="6" borderId="11" xfId="0" applyNumberFormat="1" applyFont="1" applyFill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top"/>
    </xf>
    <xf numFmtId="1" fontId="3" fillId="0" borderId="15" xfId="0" applyNumberFormat="1" applyFont="1" applyBorder="1" applyAlignment="1">
      <alignment horizontal="center" vertical="top"/>
    </xf>
    <xf numFmtId="1" fontId="3" fillId="0" borderId="17" xfId="0" applyNumberFormat="1" applyFont="1" applyBorder="1" applyAlignment="1">
      <alignment horizontal="center" vertical="top"/>
    </xf>
    <xf numFmtId="1" fontId="3" fillId="0" borderId="21" xfId="0" applyNumberFormat="1" applyFont="1" applyBorder="1" applyAlignment="1">
      <alignment horizontal="center" vertical="top"/>
    </xf>
    <xf numFmtId="1" fontId="3" fillId="0" borderId="21" xfId="0" applyNumberFormat="1" applyFont="1" applyBorder="1" applyAlignment="1">
      <alignment horizontal="center" vertical="top" wrapText="1"/>
    </xf>
    <xf numFmtId="1" fontId="2" fillId="0" borderId="22" xfId="0" applyNumberFormat="1" applyFont="1" applyBorder="1" applyAlignment="1">
      <alignment horizontal="center" vertical="top" wrapText="1"/>
    </xf>
    <xf numFmtId="1" fontId="2" fillId="8" borderId="11" xfId="0" applyNumberFormat="1" applyFont="1" applyFill="1" applyBorder="1" applyAlignment="1">
      <alignment horizontal="center" vertical="top" wrapText="1"/>
    </xf>
    <xf numFmtId="41" fontId="11" fillId="0" borderId="0" xfId="0" applyNumberFormat="1" applyFont="1" applyBorder="1" applyAlignment="1">
      <alignment wrapText="1"/>
    </xf>
    <xf numFmtId="41" fontId="12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41" fontId="11" fillId="0" borderId="5" xfId="0" applyNumberFormat="1" applyFont="1" applyBorder="1" applyAlignment="1">
      <alignment horizontal="center" vertical="center" wrapText="1"/>
    </xf>
    <xf numFmtId="41" fontId="14" fillId="0" borderId="5" xfId="0" applyNumberFormat="1" applyFont="1" applyBorder="1" applyAlignment="1">
      <alignment horizontal="center" vertical="center" wrapText="1"/>
    </xf>
    <xf numFmtId="41" fontId="11" fillId="2" borderId="1" xfId="0" applyNumberFormat="1" applyFont="1" applyFill="1" applyBorder="1" applyAlignment="1">
      <alignment horizontal="center" vertical="center"/>
    </xf>
    <xf numFmtId="41" fontId="14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41" fontId="12" fillId="0" borderId="0" xfId="0" applyNumberFormat="1" applyFont="1" applyBorder="1" applyAlignment="1"/>
    <xf numFmtId="41" fontId="17" fillId="0" borderId="0" xfId="0" applyNumberFormat="1" applyFont="1" applyBorder="1" applyAlignment="1"/>
    <xf numFmtId="0" fontId="12" fillId="0" borderId="0" xfId="0" applyFont="1" applyBorder="1" applyAlignment="1"/>
    <xf numFmtId="41" fontId="14" fillId="9" borderId="1" xfId="0" applyNumberFormat="1" applyFont="1" applyFill="1" applyBorder="1" applyAlignment="1">
      <alignment horizontal="center" vertical="top"/>
    </xf>
    <xf numFmtId="0" fontId="18" fillId="9" borderId="1" xfId="0" applyNumberFormat="1" applyFont="1" applyFill="1" applyBorder="1" applyAlignment="1">
      <alignment horizontal="left" vertical="top"/>
    </xf>
    <xf numFmtId="41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/>
    </xf>
    <xf numFmtId="41" fontId="14" fillId="8" borderId="1" xfId="0" applyNumberFormat="1" applyFont="1" applyFill="1" applyBorder="1" applyAlignment="1">
      <alignment vertical="top"/>
    </xf>
    <xf numFmtId="41" fontId="11" fillId="8" borderId="1" xfId="0" applyNumberFormat="1" applyFont="1" applyFill="1" applyBorder="1" applyAlignment="1">
      <alignment vertical="top"/>
    </xf>
    <xf numFmtId="0" fontId="19" fillId="8" borderId="1" xfId="0" applyNumberFormat="1" applyFont="1" applyFill="1" applyBorder="1" applyAlignment="1">
      <alignment horizontal="left"/>
    </xf>
    <xf numFmtId="41" fontId="11" fillId="0" borderId="0" xfId="0" applyNumberFormat="1" applyFont="1" applyBorder="1" applyAlignment="1"/>
    <xf numFmtId="0" fontId="19" fillId="8" borderId="2" xfId="0" applyNumberFormat="1" applyFont="1" applyFill="1" applyBorder="1" applyAlignment="1">
      <alignment horizontal="left"/>
    </xf>
    <xf numFmtId="1" fontId="7" fillId="0" borderId="6" xfId="0" applyNumberFormat="1" applyFont="1" applyBorder="1" applyAlignment="1">
      <alignment horizontal="center" vertical="top" wrapText="1"/>
    </xf>
    <xf numFmtId="41" fontId="7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left" vertical="top"/>
    </xf>
    <xf numFmtId="41" fontId="7" fillId="0" borderId="0" xfId="0" applyNumberFormat="1" applyFont="1" applyBorder="1" applyAlignment="1">
      <alignment vertical="top"/>
    </xf>
    <xf numFmtId="41" fontId="7" fillId="0" borderId="0" xfId="0" applyNumberFormat="1" applyFont="1" applyBorder="1" applyAlignment="1"/>
    <xf numFmtId="0" fontId="7" fillId="0" borderId="0" xfId="0" applyFont="1" applyBorder="1" applyAlignment="1">
      <alignment vertical="top"/>
    </xf>
    <xf numFmtId="41" fontId="7" fillId="0" borderId="1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left" vertical="top" wrapText="1"/>
    </xf>
    <xf numFmtId="41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1" fontId="11" fillId="8" borderId="5" xfId="0" applyNumberFormat="1" applyFont="1" applyFill="1" applyBorder="1" applyAlignment="1">
      <alignment vertical="top"/>
    </xf>
    <xf numFmtId="41" fontId="14" fillId="8" borderId="7" xfId="0" applyNumberFormat="1" applyFont="1" applyFill="1" applyBorder="1" applyAlignment="1">
      <alignment vertical="top"/>
    </xf>
    <xf numFmtId="41" fontId="11" fillId="8" borderId="7" xfId="0" applyNumberFormat="1" applyFont="1" applyFill="1" applyBorder="1" applyAlignment="1">
      <alignment vertical="top"/>
    </xf>
    <xf numFmtId="0" fontId="16" fillId="8" borderId="5" xfId="0" applyNumberFormat="1" applyFont="1" applyFill="1" applyBorder="1" applyAlignment="1">
      <alignment vertical="top"/>
    </xf>
    <xf numFmtId="41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vertical="top"/>
    </xf>
    <xf numFmtId="1" fontId="12" fillId="0" borderId="22" xfId="0" applyNumberFormat="1" applyFont="1" applyBorder="1" applyAlignment="1">
      <alignment horizontal="center" vertical="top" wrapText="1"/>
    </xf>
    <xf numFmtId="41" fontId="12" fillId="0" borderId="1" xfId="0" applyNumberFormat="1" applyFont="1" applyBorder="1" applyAlignment="1">
      <alignment horizontal="center" vertical="top"/>
    </xf>
    <xf numFmtId="0" fontId="19" fillId="0" borderId="5" xfId="0" applyNumberFormat="1" applyFont="1" applyBorder="1" applyAlignment="1">
      <alignment horizontal="left" vertical="top" wrapText="1"/>
    </xf>
    <xf numFmtId="41" fontId="12" fillId="0" borderId="0" xfId="0" applyNumberFormat="1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" fontId="11" fillId="8" borderId="4" xfId="0" applyNumberFormat="1" applyFont="1" applyFill="1" applyBorder="1" applyAlignment="1">
      <alignment horizontal="center" vertical="top" wrapText="1"/>
    </xf>
    <xf numFmtId="41" fontId="11" fillId="8" borderId="1" xfId="0" applyNumberFormat="1" applyFont="1" applyFill="1" applyBorder="1" applyAlignment="1">
      <alignment horizontal="center" vertical="top" wrapText="1"/>
    </xf>
    <xf numFmtId="41" fontId="14" fillId="8" borderId="1" xfId="0" applyNumberFormat="1" applyFont="1" applyFill="1" applyBorder="1" applyAlignment="1">
      <alignment horizontal="center" vertical="top" wrapText="1"/>
    </xf>
    <xf numFmtId="0" fontId="16" fillId="8" borderId="1" xfId="0" applyNumberFormat="1" applyFont="1" applyFill="1" applyBorder="1" applyAlignment="1">
      <alignment horizontal="left" vertical="top"/>
    </xf>
    <xf numFmtId="41" fontId="11" fillId="0" borderId="0" xfId="0" applyNumberFormat="1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1" fontId="12" fillId="0" borderId="10" xfId="0" applyNumberFormat="1" applyFont="1" applyBorder="1" applyAlignment="1">
      <alignment horizontal="center" vertical="top" wrapText="1"/>
    </xf>
    <xf numFmtId="41" fontId="12" fillId="0" borderId="1" xfId="1" applyNumberFormat="1" applyFont="1" applyBorder="1" applyAlignment="1">
      <alignment horizontal="center" vertical="top" wrapText="1"/>
    </xf>
    <xf numFmtId="41" fontId="7" fillId="0" borderId="1" xfId="1" applyNumberFormat="1" applyFont="1" applyBorder="1" applyAlignment="1">
      <alignment horizontal="center" vertical="top" wrapText="1"/>
    </xf>
    <xf numFmtId="0" fontId="21" fillId="0" borderId="1" xfId="0" applyNumberFormat="1" applyFont="1" applyBorder="1" applyAlignment="1">
      <alignment horizontal="left" vertical="top" wrapText="1"/>
    </xf>
    <xf numFmtId="1" fontId="12" fillId="0" borderId="6" xfId="0" applyNumberFormat="1" applyFont="1" applyBorder="1" applyAlignment="1">
      <alignment horizontal="center" vertical="top" wrapText="1"/>
    </xf>
    <xf numFmtId="0" fontId="21" fillId="0" borderId="5" xfId="0" applyNumberFormat="1" applyFont="1" applyBorder="1" applyAlignment="1">
      <alignment horizontal="left" vertical="top" wrapText="1"/>
    </xf>
    <xf numFmtId="41" fontId="12" fillId="0" borderId="1" xfId="1" applyNumberFormat="1" applyFont="1" applyFill="1" applyBorder="1" applyAlignment="1">
      <alignment horizontal="center" vertical="top" wrapText="1"/>
    </xf>
    <xf numFmtId="0" fontId="19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41" fontId="11" fillId="8" borderId="5" xfId="1" applyNumberFormat="1" applyFont="1" applyFill="1" applyBorder="1" applyAlignment="1">
      <alignment horizontal="center" vertical="top" wrapText="1"/>
    </xf>
    <xf numFmtId="0" fontId="16" fillId="8" borderId="5" xfId="0" applyNumberFormat="1" applyFont="1" applyFill="1" applyBorder="1" applyAlignment="1">
      <alignment horizontal="left" vertical="top" wrapText="1"/>
    </xf>
    <xf numFmtId="41" fontId="7" fillId="0" borderId="1" xfId="1" applyNumberFormat="1" applyFont="1" applyFill="1" applyBorder="1" applyAlignment="1">
      <alignment horizontal="center" vertical="top" wrapText="1"/>
    </xf>
    <xf numFmtId="41" fontId="12" fillId="0" borderId="5" xfId="1" applyNumberFormat="1" applyFont="1" applyBorder="1" applyAlignment="1">
      <alignment horizontal="center" vertical="top" wrapText="1"/>
    </xf>
    <xf numFmtId="41" fontId="7" fillId="0" borderId="5" xfId="1" applyNumberFormat="1" applyFont="1" applyFill="1" applyBorder="1" applyAlignment="1">
      <alignment horizontal="center" vertical="top" wrapText="1"/>
    </xf>
    <xf numFmtId="41" fontId="11" fillId="8" borderId="1" xfId="1" applyNumberFormat="1" applyFont="1" applyFill="1" applyBorder="1" applyAlignment="1">
      <alignment horizontal="center" vertical="top" wrapText="1"/>
    </xf>
    <xf numFmtId="41" fontId="14" fillId="8" borderId="1" xfId="1" applyNumberFormat="1" applyFont="1" applyFill="1" applyBorder="1" applyAlignment="1">
      <alignment horizontal="center" vertical="top" wrapText="1"/>
    </xf>
    <xf numFmtId="0" fontId="19" fillId="8" borderId="1" xfId="0" applyNumberFormat="1" applyFont="1" applyFill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19" fillId="0" borderId="2" xfId="0" applyNumberFormat="1" applyFont="1" applyBorder="1" applyAlignment="1">
      <alignment horizontal="left" vertical="top" wrapText="1"/>
    </xf>
    <xf numFmtId="41" fontId="14" fillId="7" borderId="1" xfId="0" applyNumberFormat="1" applyFont="1" applyFill="1" applyBorder="1" applyAlignment="1">
      <alignment horizontal="center" vertical="center" wrapText="1"/>
    </xf>
    <xf numFmtId="0" fontId="18" fillId="7" borderId="1" xfId="0" applyNumberFormat="1" applyFont="1" applyFill="1" applyBorder="1" applyAlignment="1">
      <alignment horizontal="center" vertical="center" wrapText="1"/>
    </xf>
    <xf numFmtId="41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1" fontId="14" fillId="6" borderId="1" xfId="0" applyNumberFormat="1" applyFont="1" applyFill="1" applyBorder="1" applyAlignment="1">
      <alignment horizontal="left" vertical="top" wrapText="1"/>
    </xf>
    <xf numFmtId="0" fontId="20" fillId="6" borderId="1" xfId="0" applyNumberFormat="1" applyFont="1" applyFill="1" applyBorder="1" applyAlignment="1">
      <alignment horizontal="left" vertical="top" wrapText="1"/>
    </xf>
    <xf numFmtId="41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1" fontId="7" fillId="0" borderId="1" xfId="0" applyNumberFormat="1" applyFont="1" applyBorder="1" applyAlignment="1">
      <alignment horizontal="left" vertical="top" wrapText="1"/>
    </xf>
    <xf numFmtId="41" fontId="7" fillId="0" borderId="18" xfId="0" applyNumberFormat="1" applyFont="1" applyBorder="1" applyAlignment="1">
      <alignment horizontal="left" vertical="top"/>
    </xf>
    <xf numFmtId="0" fontId="20" fillId="0" borderId="18" xfId="0" applyNumberFormat="1" applyFont="1" applyBorder="1" applyAlignment="1">
      <alignment horizontal="left" vertical="top" wrapText="1"/>
    </xf>
    <xf numFmtId="41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41" fontId="7" fillId="0" borderId="16" xfId="0" applyNumberFormat="1" applyFont="1" applyBorder="1" applyAlignment="1">
      <alignment horizontal="left" vertical="top"/>
    </xf>
    <xf numFmtId="41" fontId="19" fillId="0" borderId="16" xfId="0" applyNumberFormat="1" applyFont="1" applyBorder="1" applyAlignment="1">
      <alignment horizontal="left" vertical="top" wrapText="1"/>
    </xf>
    <xf numFmtId="0" fontId="20" fillId="0" borderId="16" xfId="0" applyNumberFormat="1" applyFont="1" applyBorder="1" applyAlignment="1">
      <alignment horizontal="left" vertical="top" wrapText="1"/>
    </xf>
    <xf numFmtId="41" fontId="7" fillId="0" borderId="5" xfId="0" applyNumberFormat="1" applyFont="1" applyBorder="1" applyAlignment="1">
      <alignment horizontal="left" vertical="top"/>
    </xf>
    <xf numFmtId="41" fontId="19" fillId="0" borderId="5" xfId="0" applyNumberFormat="1" applyFont="1" applyBorder="1" applyAlignment="1">
      <alignment horizontal="left" vertical="top" wrapText="1"/>
    </xf>
    <xf numFmtId="0" fontId="20" fillId="0" borderId="5" xfId="0" applyNumberFormat="1" applyFont="1" applyBorder="1" applyAlignment="1">
      <alignment horizontal="left" vertical="top" wrapText="1"/>
    </xf>
    <xf numFmtId="41" fontId="7" fillId="0" borderId="13" xfId="0" applyNumberFormat="1" applyFont="1" applyBorder="1" applyAlignment="1">
      <alignment horizontal="left" vertical="top"/>
    </xf>
    <xf numFmtId="41" fontId="19" fillId="0" borderId="13" xfId="0" applyNumberFormat="1" applyFont="1" applyBorder="1" applyAlignment="1">
      <alignment horizontal="left" vertical="top" wrapText="1"/>
    </xf>
    <xf numFmtId="0" fontId="20" fillId="0" borderId="13" xfId="0" applyNumberFormat="1" applyFont="1" applyBorder="1" applyAlignment="1">
      <alignment horizontal="left" vertical="top" wrapText="1"/>
    </xf>
    <xf numFmtId="41" fontId="14" fillId="6" borderId="1" xfId="0" applyNumberFormat="1" applyFont="1" applyFill="1" applyBorder="1" applyAlignment="1">
      <alignment horizontal="left" vertical="top"/>
    </xf>
    <xf numFmtId="0" fontId="18" fillId="6" borderId="1" xfId="0" applyNumberFormat="1" applyFont="1" applyFill="1" applyBorder="1" applyAlignment="1">
      <alignment horizontal="left" vertical="top" wrapText="1"/>
    </xf>
    <xf numFmtId="41" fontId="14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41" fontId="12" fillId="0" borderId="1" xfId="0" applyNumberFormat="1" applyFont="1" applyBorder="1" applyAlignment="1">
      <alignment horizontal="center" vertical="top" wrapText="1"/>
    </xf>
    <xf numFmtId="1" fontId="5" fillId="6" borderId="4" xfId="0" applyNumberFormat="1" applyFont="1" applyFill="1" applyBorder="1" applyAlignment="1">
      <alignment horizontal="center" vertical="top" wrapText="1"/>
    </xf>
    <xf numFmtId="41" fontId="14" fillId="0" borderId="0" xfId="0" applyNumberFormat="1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41" fontId="14" fillId="6" borderId="2" xfId="0" applyNumberFormat="1" applyFont="1" applyFill="1" applyBorder="1" applyAlignment="1">
      <alignment horizontal="left" vertical="top" wrapText="1"/>
    </xf>
    <xf numFmtId="41" fontId="7" fillId="0" borderId="5" xfId="0" applyNumberFormat="1" applyFont="1" applyBorder="1" applyAlignment="1">
      <alignment horizontal="left" vertical="top" wrapText="1"/>
    </xf>
    <xf numFmtId="41" fontId="14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 wrapText="1"/>
    </xf>
    <xf numFmtId="41" fontId="7" fillId="4" borderId="1" xfId="0" applyNumberFormat="1" applyFont="1" applyFill="1" applyBorder="1" applyAlignment="1">
      <alignment horizontal="left" vertical="top" wrapText="1"/>
    </xf>
    <xf numFmtId="41" fontId="14" fillId="4" borderId="1" xfId="0" applyNumberFormat="1" applyFont="1" applyFill="1" applyBorder="1" applyAlignment="1">
      <alignment wrapText="1"/>
    </xf>
    <xf numFmtId="41" fontId="11" fillId="4" borderId="1" xfId="0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41" fontId="14" fillId="4" borderId="1" xfId="0" applyNumberFormat="1" applyFont="1" applyFill="1" applyBorder="1" applyAlignment="1">
      <alignment horizontal="center" vertical="top" wrapText="1"/>
    </xf>
    <xf numFmtId="41" fontId="11" fillId="4" borderId="1" xfId="0" applyNumberFormat="1" applyFont="1" applyFill="1" applyBorder="1" applyAlignment="1">
      <alignment horizontal="center" vertical="top" wrapText="1"/>
    </xf>
    <xf numFmtId="0" fontId="19" fillId="4" borderId="2" xfId="0" applyNumberFormat="1" applyFont="1" applyFill="1" applyBorder="1" applyAlignment="1">
      <alignment horizontal="left" vertical="top" wrapText="1"/>
    </xf>
    <xf numFmtId="41" fontId="11" fillId="4" borderId="1" xfId="0" applyNumberFormat="1" applyFont="1" applyFill="1" applyBorder="1" applyAlignment="1">
      <alignment vertical="top" wrapText="1"/>
    </xf>
    <xf numFmtId="41" fontId="14" fillId="4" borderId="1" xfId="0" applyNumberFormat="1" applyFont="1" applyFill="1" applyBorder="1" applyAlignment="1">
      <alignment vertical="top" wrapText="1"/>
    </xf>
    <xf numFmtId="0" fontId="16" fillId="4" borderId="2" xfId="0" applyNumberFormat="1" applyFont="1" applyFill="1" applyBorder="1" applyAlignment="1">
      <alignment horizontal="left" vertical="top" wrapText="1"/>
    </xf>
    <xf numFmtId="41" fontId="12" fillId="0" borderId="5" xfId="1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/>
    </xf>
    <xf numFmtId="41" fontId="11" fillId="3" borderId="1" xfId="0" applyNumberFormat="1" applyFont="1" applyFill="1" applyBorder="1" applyAlignment="1">
      <alignment vertical="top" wrapText="1"/>
    </xf>
    <xf numFmtId="41" fontId="14" fillId="3" borderId="1" xfId="0" applyNumberFormat="1" applyFont="1" applyFill="1" applyBorder="1" applyAlignment="1">
      <alignment vertical="top" wrapText="1"/>
    </xf>
    <xf numFmtId="41" fontId="16" fillId="3" borderId="1" xfId="0" applyNumberFormat="1" applyFont="1" applyFill="1" applyBorder="1" applyAlignment="1">
      <alignment wrapText="1"/>
    </xf>
    <xf numFmtId="41" fontId="7" fillId="0" borderId="0" xfId="0" applyNumberFormat="1" applyFont="1" applyBorder="1" applyAlignment="1">
      <alignment wrapText="1"/>
    </xf>
    <xf numFmtId="41" fontId="19" fillId="0" borderId="0" xfId="0" applyNumberFormat="1" applyFont="1" applyBorder="1" applyAlignment="1">
      <alignment wrapText="1"/>
    </xf>
    <xf numFmtId="41" fontId="14" fillId="9" borderId="1" xfId="0" applyNumberFormat="1" applyFont="1" applyFill="1" applyBorder="1" applyAlignment="1">
      <alignment horizontal="left" vertical="top"/>
    </xf>
    <xf numFmtId="41" fontId="11" fillId="8" borderId="1" xfId="0" applyNumberFormat="1" applyFont="1" applyFill="1" applyBorder="1" applyAlignment="1">
      <alignment horizontal="left" vertical="top"/>
    </xf>
    <xf numFmtId="0" fontId="14" fillId="6" borderId="4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right" wrapText="1"/>
    </xf>
    <xf numFmtId="41" fontId="23" fillId="0" borderId="0" xfId="0" applyNumberFormat="1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right" wrapText="1"/>
    </xf>
    <xf numFmtId="41" fontId="24" fillId="0" borderId="0" xfId="0" applyNumberFormat="1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41" fontId="25" fillId="0" borderId="0" xfId="0" applyNumberFormat="1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41" fontId="26" fillId="0" borderId="0" xfId="0" applyNumberFormat="1" applyFont="1" applyBorder="1" applyAlignment="1">
      <alignment horizontal="center" wrapText="1"/>
    </xf>
    <xf numFmtId="0" fontId="11" fillId="8" borderId="1" xfId="0" applyFont="1" applyFill="1" applyBorder="1" applyAlignment="1">
      <alignment vertical="top"/>
    </xf>
    <xf numFmtId="0" fontId="11" fillId="8" borderId="4" xfId="0" applyFont="1" applyFill="1" applyBorder="1" applyAlignment="1">
      <alignment horizontal="center" vertical="top"/>
    </xf>
    <xf numFmtId="0" fontId="12" fillId="8" borderId="4" xfId="0" applyFont="1" applyFill="1" applyBorder="1" applyAlignment="1">
      <alignment horizontal="center" wrapText="1"/>
    </xf>
    <xf numFmtId="0" fontId="14" fillId="6" borderId="11" xfId="0" applyFont="1" applyFill="1" applyBorder="1" applyAlignment="1">
      <alignment horizontal="center" vertical="top" wrapText="1"/>
    </xf>
    <xf numFmtId="41" fontId="12" fillId="0" borderId="19" xfId="1" applyNumberFormat="1" applyFont="1" applyFill="1" applyBorder="1" applyAlignment="1">
      <alignment horizontal="center" vertical="top" wrapText="1"/>
    </xf>
    <xf numFmtId="41" fontId="12" fillId="0" borderId="38" xfId="1" applyNumberFormat="1" applyFont="1" applyFill="1" applyBorder="1" applyAlignment="1">
      <alignment horizontal="center" vertical="top" wrapText="1"/>
    </xf>
    <xf numFmtId="0" fontId="21" fillId="0" borderId="38" xfId="0" applyNumberFormat="1" applyFont="1" applyBorder="1" applyAlignment="1">
      <alignment horizontal="left" vertical="top" wrapText="1"/>
    </xf>
    <xf numFmtId="41" fontId="7" fillId="0" borderId="19" xfId="1" applyNumberFormat="1" applyFont="1" applyFill="1" applyBorder="1" applyAlignment="1">
      <alignment horizontal="center" vertical="top" wrapText="1"/>
    </xf>
    <xf numFmtId="1" fontId="2" fillId="0" borderId="40" xfId="0" applyNumberFormat="1" applyFont="1" applyBorder="1" applyAlignment="1">
      <alignment horizontal="center" vertical="top" wrapText="1"/>
    </xf>
    <xf numFmtId="1" fontId="2" fillId="0" borderId="43" xfId="0" applyNumberFormat="1" applyFont="1" applyBorder="1" applyAlignment="1">
      <alignment horizontal="center" vertical="top" wrapText="1"/>
    </xf>
    <xf numFmtId="41" fontId="19" fillId="0" borderId="41" xfId="1" applyNumberFormat="1" applyFont="1" applyFill="1" applyBorder="1" applyAlignment="1">
      <alignment horizontal="center" vertical="top" wrapText="1"/>
    </xf>
    <xf numFmtId="41" fontId="20" fillId="0" borderId="42" xfId="1" applyNumberFormat="1" applyFont="1" applyFill="1" applyBorder="1" applyAlignment="1">
      <alignment horizontal="center" vertical="top" wrapText="1"/>
    </xf>
    <xf numFmtId="41" fontId="19" fillId="0" borderId="42" xfId="1" applyNumberFormat="1" applyFont="1" applyFill="1" applyBorder="1" applyAlignment="1">
      <alignment horizontal="center" vertical="top" wrapText="1"/>
    </xf>
    <xf numFmtId="0" fontId="19" fillId="0" borderId="42" xfId="0" applyNumberFormat="1" applyFont="1" applyBorder="1" applyAlignment="1">
      <alignment horizontal="left" vertical="top" wrapText="1"/>
    </xf>
    <xf numFmtId="41" fontId="19" fillId="0" borderId="37" xfId="1" applyNumberFormat="1" applyFont="1" applyFill="1" applyBorder="1" applyAlignment="1">
      <alignment horizontal="center" vertical="top" wrapText="1"/>
    </xf>
    <xf numFmtId="41" fontId="20" fillId="0" borderId="5" xfId="1" applyNumberFormat="1" applyFont="1" applyFill="1" applyBorder="1" applyAlignment="1">
      <alignment horizontal="center" vertical="top" wrapText="1"/>
    </xf>
    <xf numFmtId="41" fontId="19" fillId="0" borderId="5" xfId="1" applyNumberFormat="1" applyFont="1" applyFill="1" applyBorder="1" applyAlignment="1">
      <alignment horizontal="center" vertical="top" wrapText="1"/>
    </xf>
    <xf numFmtId="0" fontId="22" fillId="0" borderId="2" xfId="0" applyNumberFormat="1" applyFont="1" applyBorder="1" applyAlignment="1">
      <alignment horizontal="left" vertical="top" wrapText="1"/>
    </xf>
    <xf numFmtId="1" fontId="3" fillId="0" borderId="48" xfId="0" applyNumberFormat="1" applyFont="1" applyBorder="1" applyAlignment="1">
      <alignment horizontal="center" vertical="top"/>
    </xf>
    <xf numFmtId="41" fontId="7" fillId="0" borderId="45" xfId="0" applyNumberFormat="1" applyFont="1" applyBorder="1" applyAlignment="1">
      <alignment horizontal="left" vertical="top"/>
    </xf>
    <xf numFmtId="41" fontId="19" fillId="0" borderId="45" xfId="0" applyNumberFormat="1" applyFont="1" applyBorder="1" applyAlignment="1">
      <alignment horizontal="left" vertical="top" wrapText="1"/>
    </xf>
    <xf numFmtId="0" fontId="20" fillId="0" borderId="45" xfId="0" applyNumberFormat="1" applyFont="1" applyBorder="1" applyAlignment="1">
      <alignment horizontal="left" vertical="top" wrapText="1"/>
    </xf>
    <xf numFmtId="0" fontId="12" fillId="0" borderId="0" xfId="9" applyFont="1" applyAlignment="1">
      <alignment vertical="top" wrapText="1"/>
    </xf>
    <xf numFmtId="0" fontId="11" fillId="0" borderId="0" xfId="9" applyFont="1" applyAlignment="1">
      <alignment horizontal="center" vertical="top" wrapText="1"/>
    </xf>
    <xf numFmtId="188" fontId="11" fillId="0" borderId="1" xfId="8" applyNumberFormat="1" applyFont="1" applyFill="1" applyBorder="1" applyAlignment="1">
      <alignment horizontal="center" vertical="center" wrapText="1"/>
    </xf>
    <xf numFmtId="0" fontId="12" fillId="0" borderId="0" xfId="9" applyFont="1" applyAlignment="1">
      <alignment vertical="center" wrapText="1"/>
    </xf>
    <xf numFmtId="188" fontId="11" fillId="11" borderId="1" xfId="8" applyNumberFormat="1" applyFont="1" applyFill="1" applyBorder="1" applyAlignment="1">
      <alignment horizontal="center" vertical="top" wrapText="1"/>
    </xf>
    <xf numFmtId="0" fontId="15" fillId="11" borderId="1" xfId="9" applyFont="1" applyFill="1" applyBorder="1" applyAlignment="1">
      <alignment horizontal="center" vertical="top" wrapText="1"/>
    </xf>
    <xf numFmtId="188" fontId="11" fillId="12" borderId="1" xfId="8" applyNumberFormat="1" applyFont="1" applyFill="1" applyBorder="1" applyAlignment="1">
      <alignment vertical="top" wrapText="1"/>
    </xf>
    <xf numFmtId="0" fontId="27" fillId="12" borderId="1" xfId="9" applyFont="1" applyFill="1" applyBorder="1" applyAlignment="1">
      <alignment vertical="top" wrapText="1"/>
    </xf>
    <xf numFmtId="188" fontId="11" fillId="13" borderId="1" xfId="8" applyNumberFormat="1" applyFont="1" applyFill="1" applyBorder="1" applyAlignment="1">
      <alignment vertical="top" wrapText="1"/>
    </xf>
    <xf numFmtId="0" fontId="27" fillId="13" borderId="1" xfId="9" applyFont="1" applyFill="1" applyBorder="1" applyAlignment="1">
      <alignment vertical="top" wrapText="1"/>
    </xf>
    <xf numFmtId="188" fontId="11" fillId="14" borderId="1" xfId="8" applyNumberFormat="1" applyFont="1" applyFill="1" applyBorder="1" applyAlignment="1">
      <alignment vertical="top" wrapText="1"/>
    </xf>
    <xf numFmtId="0" fontId="27" fillId="14" borderId="1" xfId="9" applyFont="1" applyFill="1" applyBorder="1" applyAlignment="1">
      <alignment vertical="top" wrapText="1"/>
    </xf>
    <xf numFmtId="0" fontId="12" fillId="10" borderId="4" xfId="9" applyFont="1" applyFill="1" applyBorder="1" applyAlignment="1">
      <alignment horizontal="center" vertical="top" wrapText="1"/>
    </xf>
    <xf numFmtId="0" fontId="27" fillId="10" borderId="1" xfId="9" applyFont="1" applyFill="1" applyBorder="1" applyAlignment="1">
      <alignment vertical="top" wrapText="1"/>
    </xf>
    <xf numFmtId="188" fontId="11" fillId="15" borderId="1" xfId="8" applyNumberFormat="1" applyFont="1" applyFill="1" applyBorder="1" applyAlignment="1">
      <alignment vertical="top" wrapText="1"/>
    </xf>
    <xf numFmtId="0" fontId="27" fillId="15" borderId="1" xfId="9" applyFont="1" applyFill="1" applyBorder="1" applyAlignment="1">
      <alignment vertical="top" wrapText="1"/>
    </xf>
    <xf numFmtId="188" fontId="11" fillId="16" borderId="1" xfId="8" applyNumberFormat="1" applyFont="1" applyFill="1" applyBorder="1" applyAlignment="1">
      <alignment vertical="top" wrapText="1"/>
    </xf>
    <xf numFmtId="0" fontId="27" fillId="16" borderId="1" xfId="9" applyFont="1" applyFill="1" applyBorder="1" applyAlignment="1">
      <alignment vertical="top" wrapText="1"/>
    </xf>
    <xf numFmtId="188" fontId="11" fillId="17" borderId="1" xfId="8" applyNumberFormat="1" applyFont="1" applyFill="1" applyBorder="1" applyAlignment="1">
      <alignment vertical="top" wrapText="1"/>
    </xf>
    <xf numFmtId="0" fontId="27" fillId="17" borderId="1" xfId="9" applyFont="1" applyFill="1" applyBorder="1" applyAlignment="1">
      <alignment vertical="top" wrapText="1"/>
    </xf>
    <xf numFmtId="0" fontId="27" fillId="0" borderId="1" xfId="9" applyFont="1" applyBorder="1" applyAlignment="1">
      <alignment vertical="top" wrapText="1"/>
    </xf>
    <xf numFmtId="0" fontId="12" fillId="0" borderId="2" xfId="9" applyFont="1" applyBorder="1" applyAlignment="1">
      <alignment vertical="top" wrapText="1"/>
    </xf>
    <xf numFmtId="188" fontId="12" fillId="0" borderId="0" xfId="8" applyNumberFormat="1" applyFont="1" applyAlignment="1">
      <alignment vertical="top" wrapText="1"/>
    </xf>
    <xf numFmtId="0" fontId="27" fillId="0" borderId="0" xfId="9" applyFont="1" applyAlignment="1">
      <alignment vertical="top" wrapText="1"/>
    </xf>
    <xf numFmtId="188" fontId="12" fillId="0" borderId="2" xfId="8" applyNumberFormat="1" applyFont="1" applyBorder="1" applyAlignment="1">
      <alignment vertical="top" wrapText="1"/>
    </xf>
    <xf numFmtId="0" fontId="12" fillId="0" borderId="4" xfId="9" applyFont="1" applyBorder="1" applyAlignment="1">
      <alignment horizontal="center" vertical="top" wrapText="1"/>
    </xf>
    <xf numFmtId="0" fontId="12" fillId="0" borderId="2" xfId="9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wrapText="1"/>
    </xf>
    <xf numFmtId="0" fontId="29" fillId="0" borderId="1" xfId="0" applyNumberFormat="1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29" fillId="0" borderId="5" xfId="0" applyNumberFormat="1" applyFont="1" applyBorder="1" applyAlignment="1">
      <alignment horizontal="left" vertical="top" wrapText="1"/>
    </xf>
    <xf numFmtId="1" fontId="7" fillId="0" borderId="28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0" fontId="21" fillId="0" borderId="2" xfId="0" applyNumberFormat="1" applyFont="1" applyBorder="1" applyAlignment="1">
      <alignment horizontal="left" vertical="top" wrapText="1"/>
    </xf>
    <xf numFmtId="41" fontId="7" fillId="0" borderId="19" xfId="1" applyNumberFormat="1" applyFont="1" applyBorder="1" applyAlignment="1">
      <alignment horizontal="center" vertical="top" wrapText="1"/>
    </xf>
    <xf numFmtId="41" fontId="7" fillId="0" borderId="5" xfId="1" applyNumberFormat="1" applyFont="1" applyBorder="1" applyAlignment="1">
      <alignment horizontal="center" vertical="top" wrapText="1"/>
    </xf>
    <xf numFmtId="41" fontId="12" fillId="0" borderId="4" xfId="1" applyNumberFormat="1" applyFont="1" applyFill="1" applyBorder="1" applyAlignment="1">
      <alignment horizontal="center" vertical="top" wrapText="1"/>
    </xf>
    <xf numFmtId="41" fontId="12" fillId="0" borderId="2" xfId="1" applyNumberFormat="1" applyFont="1" applyFill="1" applyBorder="1" applyAlignment="1">
      <alignment horizontal="center" vertical="top" wrapText="1"/>
    </xf>
    <xf numFmtId="41" fontId="13" fillId="0" borderId="0" xfId="0" applyNumberFormat="1" applyFont="1" applyBorder="1" applyAlignment="1"/>
    <xf numFmtId="41" fontId="30" fillId="0" borderId="3" xfId="1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top" wrapText="1"/>
    </xf>
    <xf numFmtId="41" fontId="14" fillId="18" borderId="1" xfId="0" applyNumberFormat="1" applyFont="1" applyFill="1" applyBorder="1" applyAlignment="1">
      <alignment horizontal="left" vertical="top" wrapText="1"/>
    </xf>
    <xf numFmtId="0" fontId="3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1" fontId="32" fillId="0" borderId="1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2" fillId="0" borderId="0" xfId="0" applyFont="1"/>
    <xf numFmtId="41" fontId="12" fillId="0" borderId="0" xfId="0" applyNumberFormat="1" applyFont="1"/>
    <xf numFmtId="0" fontId="33" fillId="9" borderId="1" xfId="0" applyFont="1" applyFill="1" applyBorder="1" applyAlignment="1">
      <alignment horizontal="center" vertical="center"/>
    </xf>
    <xf numFmtId="41" fontId="33" fillId="9" borderId="1" xfId="0" applyNumberFormat="1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41" fontId="31" fillId="9" borderId="1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wrapText="1"/>
    </xf>
    <xf numFmtId="41" fontId="12" fillId="0" borderId="5" xfId="0" applyNumberFormat="1" applyFont="1" applyBorder="1" applyAlignment="1">
      <alignment horizontal="center" vertical="top"/>
    </xf>
    <xf numFmtId="41" fontId="7" fillId="0" borderId="2" xfId="0" applyNumberFormat="1" applyFont="1" applyBorder="1" applyAlignment="1">
      <alignment horizontal="left" vertical="top" wrapText="1"/>
    </xf>
    <xf numFmtId="41" fontId="12" fillId="0" borderId="7" xfId="1" applyNumberFormat="1" applyFont="1" applyFill="1" applyBorder="1" applyAlignment="1">
      <alignment horizontal="center" vertical="top" wrapText="1"/>
    </xf>
    <xf numFmtId="0" fontId="35" fillId="0" borderId="0" xfId="0" applyFont="1"/>
    <xf numFmtId="0" fontId="36" fillId="0" borderId="0" xfId="0" applyFont="1" applyAlignment="1">
      <alignment horizontal="center"/>
    </xf>
    <xf numFmtId="43" fontId="35" fillId="0" borderId="0" xfId="1" applyNumberFormat="1" applyFont="1"/>
    <xf numFmtId="0" fontId="36" fillId="19" borderId="1" xfId="0" applyFont="1" applyFill="1" applyBorder="1" applyAlignment="1">
      <alignment horizontal="left" vertical="top" wrapText="1"/>
    </xf>
    <xf numFmtId="43" fontId="36" fillId="19" borderId="1" xfId="1" applyNumberFormat="1" applyFont="1" applyFill="1" applyBorder="1" applyAlignment="1">
      <alignment vertical="top"/>
    </xf>
    <xf numFmtId="0" fontId="36" fillId="19" borderId="1" xfId="0" applyFont="1" applyFill="1" applyBorder="1"/>
    <xf numFmtId="0" fontId="37" fillId="0" borderId="18" xfId="0" applyFont="1" applyBorder="1" applyAlignment="1">
      <alignment horizontal="left" vertical="top" wrapText="1"/>
    </xf>
    <xf numFmtId="43" fontId="35" fillId="0" borderId="18" xfId="1" applyNumberFormat="1" applyFont="1" applyBorder="1" applyAlignment="1">
      <alignment vertical="top"/>
    </xf>
    <xf numFmtId="0" fontId="35" fillId="0" borderId="18" xfId="0" applyFont="1" applyBorder="1"/>
    <xf numFmtId="0" fontId="37" fillId="0" borderId="16" xfId="0" applyFont="1" applyBorder="1" applyAlignment="1">
      <alignment horizontal="left" vertical="top" wrapText="1"/>
    </xf>
    <xf numFmtId="43" fontId="35" fillId="0" borderId="16" xfId="1" applyNumberFormat="1" applyFont="1" applyBorder="1" applyAlignment="1">
      <alignment vertical="top"/>
    </xf>
    <xf numFmtId="0" fontId="35" fillId="0" borderId="16" xfId="0" applyFont="1" applyBorder="1"/>
    <xf numFmtId="0" fontId="37" fillId="0" borderId="5" xfId="0" applyFont="1" applyBorder="1" applyAlignment="1">
      <alignment horizontal="left" vertical="top" wrapText="1"/>
    </xf>
    <xf numFmtId="43" fontId="35" fillId="0" borderId="5" xfId="1" applyNumberFormat="1" applyFont="1" applyBorder="1" applyAlignment="1">
      <alignment vertical="top"/>
    </xf>
    <xf numFmtId="0" fontId="35" fillId="0" borderId="5" xfId="0" applyFont="1" applyBorder="1"/>
    <xf numFmtId="43" fontId="36" fillId="20" borderId="1" xfId="1" applyNumberFormat="1" applyFont="1" applyFill="1" applyBorder="1" applyAlignment="1">
      <alignment vertical="top"/>
    </xf>
    <xf numFmtId="0" fontId="36" fillId="20" borderId="1" xfId="0" applyFont="1" applyFill="1" applyBorder="1"/>
    <xf numFmtId="0" fontId="37" fillId="0" borderId="18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0" fontId="38" fillId="19" borderId="1" xfId="0" applyFont="1" applyFill="1" applyBorder="1" applyAlignment="1">
      <alignment horizontal="left" vertical="top" wrapText="1"/>
    </xf>
    <xf numFmtId="43" fontId="36" fillId="19" borderId="1" xfId="1" applyNumberFormat="1" applyFont="1" applyFill="1" applyBorder="1" applyAlignment="1">
      <alignment horizontal="left" vertical="top"/>
    </xf>
    <xf numFmtId="0" fontId="36" fillId="19" borderId="2" xfId="0" applyFont="1" applyFill="1" applyBorder="1" applyAlignment="1">
      <alignment horizontal="left" vertical="top"/>
    </xf>
    <xf numFmtId="43" fontId="36" fillId="20" borderId="19" xfId="1" applyNumberFormat="1" applyFont="1" applyFill="1" applyBorder="1" applyAlignment="1">
      <alignment vertical="top"/>
    </xf>
    <xf numFmtId="0" fontId="35" fillId="20" borderId="19" xfId="0" applyFont="1" applyFill="1" applyBorder="1"/>
    <xf numFmtId="0" fontId="35" fillId="0" borderId="18" xfId="0" applyFont="1" applyFill="1" applyBorder="1" applyAlignment="1">
      <alignment horizontal="left" vertical="top" wrapText="1"/>
    </xf>
    <xf numFmtId="43" fontId="35" fillId="0" borderId="18" xfId="1" applyNumberFormat="1" applyFont="1" applyFill="1" applyBorder="1" applyAlignment="1">
      <alignment vertical="top"/>
    </xf>
    <xf numFmtId="0" fontId="36" fillId="0" borderId="18" xfId="0" applyFont="1" applyFill="1" applyBorder="1"/>
    <xf numFmtId="0" fontId="35" fillId="0" borderId="51" xfId="0" applyFont="1" applyFill="1" applyBorder="1" applyAlignment="1">
      <alignment horizontal="left" vertical="top" wrapText="1"/>
    </xf>
    <xf numFmtId="43" fontId="35" fillId="0" borderId="14" xfId="1" applyNumberFormat="1" applyFont="1" applyFill="1" applyBorder="1" applyAlignment="1">
      <alignment vertical="top"/>
    </xf>
    <xf numFmtId="0" fontId="36" fillId="0" borderId="14" xfId="0" applyFont="1" applyFill="1" applyBorder="1"/>
    <xf numFmtId="0" fontId="36" fillId="19" borderId="1" xfId="0" applyFont="1" applyFill="1" applyBorder="1" applyAlignment="1">
      <alignment vertical="top" wrapText="1"/>
    </xf>
    <xf numFmtId="0" fontId="39" fillId="10" borderId="18" xfId="0" applyFont="1" applyFill="1" applyBorder="1" applyAlignment="1">
      <alignment vertical="top" wrapText="1"/>
    </xf>
    <xf numFmtId="43" fontId="39" fillId="10" borderId="18" xfId="1" applyNumberFormat="1" applyFont="1" applyFill="1" applyBorder="1" applyAlignment="1">
      <alignment vertical="top"/>
    </xf>
    <xf numFmtId="0" fontId="40" fillId="10" borderId="18" xfId="0" applyFont="1" applyFill="1" applyBorder="1"/>
    <xf numFmtId="0" fontId="37" fillId="0" borderId="13" xfId="0" applyFont="1" applyBorder="1" applyAlignment="1">
      <alignment vertical="center" wrapText="1"/>
    </xf>
    <xf numFmtId="43" fontId="35" fillId="0" borderId="13" xfId="1" applyNumberFormat="1" applyFont="1" applyBorder="1" applyAlignment="1">
      <alignment vertical="top"/>
    </xf>
    <xf numFmtId="0" fontId="35" fillId="0" borderId="13" xfId="0" applyFont="1" applyBorder="1"/>
    <xf numFmtId="0" fontId="41" fillId="0" borderId="16" xfId="0" applyFont="1" applyBorder="1"/>
    <xf numFmtId="0" fontId="41" fillId="0" borderId="16" xfId="0" applyFont="1" applyBorder="1" applyAlignment="1">
      <alignment horizontal="left" vertical="top" wrapText="1"/>
    </xf>
    <xf numFmtId="0" fontId="36" fillId="19" borderId="1" xfId="0" applyFont="1" applyFill="1" applyBorder="1" applyAlignment="1">
      <alignment vertical="center" wrapText="1"/>
    </xf>
    <xf numFmtId="0" fontId="35" fillId="0" borderId="18" xfId="0" applyFont="1" applyBorder="1" applyAlignment="1">
      <alignment vertical="top" wrapText="1"/>
    </xf>
    <xf numFmtId="0" fontId="35" fillId="0" borderId="13" xfId="0" applyFont="1" applyBorder="1" applyAlignment="1">
      <alignment vertical="top" wrapText="1"/>
    </xf>
    <xf numFmtId="0" fontId="35" fillId="0" borderId="16" xfId="0" applyFont="1" applyBorder="1" applyAlignment="1">
      <alignment vertical="top" wrapText="1"/>
    </xf>
    <xf numFmtId="0" fontId="37" fillId="0" borderId="5" xfId="0" applyFont="1" applyBorder="1" applyAlignment="1">
      <alignment vertical="center" wrapText="1"/>
    </xf>
    <xf numFmtId="0" fontId="39" fillId="0" borderId="5" xfId="0" applyFont="1" applyBorder="1" applyAlignment="1">
      <alignment vertical="top" wrapText="1"/>
    </xf>
    <xf numFmtId="0" fontId="35" fillId="0" borderId="18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6" fillId="19" borderId="1" xfId="0" applyFont="1" applyFill="1" applyBorder="1" applyAlignment="1">
      <alignment horizontal="left" vertical="top"/>
    </xf>
    <xf numFmtId="43" fontId="36" fillId="20" borderId="1" xfId="1" applyNumberFormat="1" applyFont="1" applyFill="1" applyBorder="1" applyAlignment="1">
      <alignment horizontal="center" vertical="top"/>
    </xf>
    <xf numFmtId="0" fontId="36" fillId="20" borderId="1" xfId="0" applyFont="1" applyFill="1" applyBorder="1" applyAlignment="1">
      <alignment horizontal="center"/>
    </xf>
    <xf numFmtId="0" fontId="36" fillId="19" borderId="19" xfId="0" applyFont="1" applyFill="1" applyBorder="1" applyAlignment="1">
      <alignment horizontal="left" vertical="top" wrapText="1"/>
    </xf>
    <xf numFmtId="0" fontId="35" fillId="20" borderId="1" xfId="0" applyFont="1" applyFill="1" applyBorder="1"/>
    <xf numFmtId="0" fontId="37" fillId="0" borderId="52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6" xfId="0" applyFont="1" applyBorder="1" applyAlignment="1">
      <alignment vertical="top" wrapText="1"/>
    </xf>
    <xf numFmtId="0" fontId="36" fillId="14" borderId="2" xfId="0" applyFont="1" applyFill="1" applyBorder="1" applyAlignment="1">
      <alignment horizontal="center" vertical="top"/>
    </xf>
    <xf numFmtId="43" fontId="36" fillId="14" borderId="1" xfId="0" applyNumberFormat="1" applyFont="1" applyFill="1" applyBorder="1" applyAlignment="1">
      <alignment vertical="top"/>
    </xf>
    <xf numFmtId="43" fontId="35" fillId="0" borderId="0" xfId="0" applyNumberFormat="1" applyFont="1"/>
    <xf numFmtId="43" fontId="35" fillId="0" borderId="23" xfId="1" applyNumberFormat="1" applyFont="1" applyBorder="1" applyAlignment="1"/>
    <xf numFmtId="188" fontId="36" fillId="0" borderId="0" xfId="1" applyNumberFormat="1" applyFont="1" applyAlignment="1">
      <alignment horizontal="left" vertical="top"/>
    </xf>
    <xf numFmtId="43" fontId="36" fillId="0" borderId="0" xfId="1" applyNumberFormat="1" applyFont="1" applyBorder="1" applyAlignment="1">
      <alignment horizontal="left"/>
    </xf>
    <xf numFmtId="43" fontId="36" fillId="0" borderId="0" xfId="1" applyNumberFormat="1" applyFont="1" applyAlignment="1">
      <alignment horizontal="left"/>
    </xf>
    <xf numFmtId="10" fontId="36" fillId="0" borderId="0" xfId="0" applyNumberFormat="1" applyFont="1" applyAlignment="1">
      <alignment horizontal="left" vertical="top"/>
    </xf>
    <xf numFmtId="10" fontId="35" fillId="0" borderId="0" xfId="0" applyNumberFormat="1" applyFont="1"/>
    <xf numFmtId="43" fontId="36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center" vertical="top"/>
    </xf>
    <xf numFmtId="0" fontId="36" fillId="20" borderId="0" xfId="0" applyFont="1" applyFill="1" applyAlignment="1">
      <alignment horizontal="left" vertical="center"/>
    </xf>
    <xf numFmtId="0" fontId="36" fillId="20" borderId="2" xfId="0" applyFont="1" applyFill="1" applyBorder="1"/>
    <xf numFmtId="0" fontId="36" fillId="20" borderId="8" xfId="0" applyFont="1" applyFill="1" applyBorder="1" applyAlignment="1">
      <alignment horizontal="left"/>
    </xf>
    <xf numFmtId="0" fontId="36" fillId="20" borderId="1" xfId="0" applyFont="1" applyFill="1" applyBorder="1" applyAlignment="1">
      <alignment horizontal="left" vertical="center"/>
    </xf>
    <xf numFmtId="0" fontId="36" fillId="20" borderId="8" xfId="0" applyFont="1" applyFill="1" applyBorder="1" applyAlignment="1">
      <alignment horizontal="left" wrapText="1"/>
    </xf>
    <xf numFmtId="43" fontId="36" fillId="20" borderId="2" xfId="1" applyNumberFormat="1" applyFont="1" applyFill="1" applyBorder="1" applyAlignment="1">
      <alignment vertical="top"/>
    </xf>
    <xf numFmtId="43" fontId="36" fillId="19" borderId="2" xfId="1" applyNumberFormat="1" applyFont="1" applyFill="1" applyBorder="1" applyAlignment="1">
      <alignment horizontal="left" vertical="top"/>
    </xf>
    <xf numFmtId="43" fontId="35" fillId="0" borderId="0" xfId="1" applyNumberFormat="1" applyFont="1" applyBorder="1" applyAlignment="1"/>
    <xf numFmtId="0" fontId="35" fillId="0" borderId="1" xfId="0" applyFont="1" applyBorder="1"/>
    <xf numFmtId="1" fontId="3" fillId="0" borderId="15" xfId="0" applyNumberFormat="1" applyFont="1" applyBorder="1" applyAlignment="1">
      <alignment horizontal="center" vertical="top" wrapText="1"/>
    </xf>
    <xf numFmtId="0" fontId="7" fillId="0" borderId="46" xfId="0" applyNumberFormat="1" applyFont="1" applyBorder="1" applyAlignment="1">
      <alignment horizontal="left" vertical="top" wrapText="1"/>
    </xf>
    <xf numFmtId="0" fontId="7" fillId="0" borderId="47" xfId="0" applyNumberFormat="1" applyFont="1" applyBorder="1" applyAlignment="1">
      <alignment horizontal="left" vertical="top" wrapText="1"/>
    </xf>
    <xf numFmtId="0" fontId="35" fillId="10" borderId="0" xfId="0" applyFont="1" applyFill="1"/>
    <xf numFmtId="0" fontId="36" fillId="20" borderId="2" xfId="0" applyFont="1" applyFill="1" applyBorder="1" applyAlignment="1">
      <alignment horizontal="left" vertical="center" wrapText="1"/>
    </xf>
    <xf numFmtId="0" fontId="37" fillId="10" borderId="8" xfId="0" applyFont="1" applyFill="1" applyBorder="1" applyAlignment="1">
      <alignment horizontal="left" vertical="top" wrapText="1"/>
    </xf>
    <xf numFmtId="43" fontId="35" fillId="10" borderId="1" xfId="1" applyNumberFormat="1" applyFont="1" applyFill="1" applyBorder="1" applyAlignment="1">
      <alignment horizontal="left" vertical="top"/>
    </xf>
    <xf numFmtId="0" fontId="35" fillId="10" borderId="1" xfId="0" applyFont="1" applyFill="1" applyBorder="1" applyAlignment="1">
      <alignment horizontal="left" vertical="top"/>
    </xf>
    <xf numFmtId="0" fontId="42" fillId="10" borderId="1" xfId="0" applyFont="1" applyFill="1" applyBorder="1" applyAlignment="1">
      <alignment horizontal="center" wrapText="1"/>
    </xf>
    <xf numFmtId="0" fontId="35" fillId="0" borderId="53" xfId="0" applyFont="1" applyBorder="1"/>
    <xf numFmtId="0" fontId="35" fillId="0" borderId="54" xfId="0" applyFont="1" applyBorder="1"/>
    <xf numFmtId="43" fontId="36" fillId="20" borderId="5" xfId="1" applyNumberFormat="1" applyFont="1" applyFill="1" applyBorder="1" applyAlignment="1">
      <alignment vertical="top"/>
    </xf>
    <xf numFmtId="43" fontId="35" fillId="0" borderId="1" xfId="1" applyNumberFormat="1" applyFont="1" applyBorder="1" applyAlignment="1">
      <alignment vertical="top"/>
    </xf>
    <xf numFmtId="0" fontId="35" fillId="14" borderId="1" xfId="0" applyFont="1" applyFill="1" applyBorder="1"/>
    <xf numFmtId="0" fontId="35" fillId="19" borderId="19" xfId="0" applyFont="1" applyFill="1" applyBorder="1"/>
    <xf numFmtId="0" fontId="35" fillId="19" borderId="1" xfId="0" applyFont="1" applyFill="1" applyBorder="1"/>
    <xf numFmtId="43" fontId="36" fillId="21" borderId="1" xfId="1" applyNumberFormat="1" applyFont="1" applyFill="1" applyBorder="1" applyAlignment="1">
      <alignment horizontal="center" vertical="top" wrapText="1"/>
    </xf>
    <xf numFmtId="0" fontId="36" fillId="21" borderId="1" xfId="0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left" vertical="center" wrapText="1"/>
    </xf>
    <xf numFmtId="0" fontId="36" fillId="20" borderId="1" xfId="0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 wrapText="1"/>
    </xf>
    <xf numFmtId="43" fontId="14" fillId="2" borderId="1" xfId="1" applyFont="1" applyFill="1" applyBorder="1" applyAlignment="1">
      <alignment horizontal="center" vertical="center"/>
    </xf>
    <xf numFmtId="43" fontId="14" fillId="9" borderId="1" xfId="1" applyFont="1" applyFill="1" applyBorder="1" applyAlignment="1">
      <alignment horizontal="left" vertical="top"/>
    </xf>
    <xf numFmtId="43" fontId="14" fillId="8" borderId="1" xfId="1" applyFont="1" applyFill="1" applyBorder="1" applyAlignment="1">
      <alignment vertical="top"/>
    </xf>
    <xf numFmtId="43" fontId="11" fillId="8" borderId="1" xfId="1" applyFont="1" applyFill="1" applyBorder="1" applyAlignment="1">
      <alignment vertical="top"/>
    </xf>
    <xf numFmtId="43" fontId="7" fillId="0" borderId="1" xfId="1" applyFont="1" applyBorder="1" applyAlignment="1">
      <alignment horizontal="center" vertical="top"/>
    </xf>
    <xf numFmtId="43" fontId="7" fillId="0" borderId="1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/>
    </xf>
    <xf numFmtId="43" fontId="12" fillId="0" borderId="1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 wrapText="1"/>
    </xf>
    <xf numFmtId="43" fontId="12" fillId="0" borderId="1" xfId="1" applyFont="1" applyFill="1" applyBorder="1" applyAlignment="1">
      <alignment horizontal="center" vertical="top" wrapText="1"/>
    </xf>
    <xf numFmtId="43" fontId="12" fillId="0" borderId="19" xfId="1" applyFont="1" applyFill="1" applyBorder="1" applyAlignment="1">
      <alignment horizontal="center" vertical="top" wrapText="1"/>
    </xf>
    <xf numFmtId="43" fontId="12" fillId="0" borderId="2" xfId="1" applyFont="1" applyFill="1" applyBorder="1" applyAlignment="1">
      <alignment horizontal="center" vertical="top" wrapText="1"/>
    </xf>
    <xf numFmtId="43" fontId="12" fillId="0" borderId="5" xfId="1" applyFont="1" applyFill="1" applyBorder="1" applyAlignment="1">
      <alignment horizontal="center" vertical="top" wrapText="1"/>
    </xf>
    <xf numFmtId="43" fontId="12" fillId="0" borderId="38" xfId="1" applyFont="1" applyFill="1" applyBorder="1" applyAlignment="1">
      <alignment horizontal="center" vertical="top" wrapText="1"/>
    </xf>
    <xf numFmtId="43" fontId="7" fillId="0" borderId="1" xfId="1" applyFont="1" applyBorder="1" applyAlignment="1">
      <alignment horizontal="left" vertical="top" wrapText="1"/>
    </xf>
    <xf numFmtId="43" fontId="7" fillId="0" borderId="18" xfId="1" applyFont="1" applyBorder="1" applyAlignment="1">
      <alignment horizontal="left" vertical="top"/>
    </xf>
    <xf numFmtId="43" fontId="7" fillId="0" borderId="13" xfId="1" applyFont="1" applyBorder="1" applyAlignment="1">
      <alignment horizontal="left" vertical="top"/>
    </xf>
    <xf numFmtId="43" fontId="7" fillId="0" borderId="5" xfId="1" applyFont="1" applyBorder="1" applyAlignment="1">
      <alignment horizontal="left" vertical="top" wrapText="1"/>
    </xf>
    <xf numFmtId="43" fontId="7" fillId="0" borderId="2" xfId="1" applyFont="1" applyBorder="1" applyAlignment="1">
      <alignment horizontal="left" vertical="top" wrapText="1"/>
    </xf>
    <xf numFmtId="43" fontId="12" fillId="0" borderId="7" xfId="1" applyFont="1" applyFill="1" applyBorder="1" applyAlignment="1">
      <alignment horizontal="center" vertical="top" wrapText="1"/>
    </xf>
    <xf numFmtId="43" fontId="11" fillId="3" borderId="1" xfId="1" applyFont="1" applyFill="1" applyBorder="1" applyAlignment="1">
      <alignment vertical="top" wrapText="1"/>
    </xf>
    <xf numFmtId="43" fontId="11" fillId="2" borderId="1" xfId="1" applyFont="1" applyFill="1" applyBorder="1" applyAlignment="1">
      <alignment horizontal="center" vertical="center"/>
    </xf>
    <xf numFmtId="43" fontId="12" fillId="0" borderId="0" xfId="1" applyFont="1" applyBorder="1" applyAlignment="1">
      <alignment wrapText="1"/>
    </xf>
    <xf numFmtId="41" fontId="12" fillId="0" borderId="16" xfId="0" applyNumberFormat="1" applyFont="1" applyBorder="1" applyAlignment="1">
      <alignment horizontal="left" vertical="top" wrapText="1"/>
    </xf>
    <xf numFmtId="41" fontId="12" fillId="0" borderId="5" xfId="0" applyNumberFormat="1" applyFont="1" applyBorder="1" applyAlignment="1">
      <alignment horizontal="left" vertical="top" wrapText="1"/>
    </xf>
    <xf numFmtId="1" fontId="7" fillId="0" borderId="17" xfId="0" applyNumberFormat="1" applyFont="1" applyBorder="1" applyAlignment="1">
      <alignment horizontal="center" vertical="top"/>
    </xf>
    <xf numFmtId="43" fontId="12" fillId="0" borderId="16" xfId="1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/>
    </xf>
    <xf numFmtId="43" fontId="12" fillId="0" borderId="5" xfId="1" applyFont="1" applyBorder="1" applyAlignment="1">
      <alignment horizontal="left" vertical="top" wrapText="1"/>
    </xf>
    <xf numFmtId="1" fontId="7" fillId="0" borderId="15" xfId="0" applyNumberFormat="1" applyFont="1" applyBorder="1" applyAlignment="1">
      <alignment horizontal="center" vertical="top"/>
    </xf>
    <xf numFmtId="41" fontId="12" fillId="0" borderId="13" xfId="0" applyNumberFormat="1" applyFont="1" applyBorder="1" applyAlignment="1">
      <alignment horizontal="left" vertical="top" wrapText="1"/>
    </xf>
    <xf numFmtId="43" fontId="12" fillId="0" borderId="13" xfId="1" applyFont="1" applyBorder="1" applyAlignment="1">
      <alignment horizontal="left" vertical="top" wrapText="1"/>
    </xf>
    <xf numFmtId="1" fontId="7" fillId="0" borderId="48" xfId="0" applyNumberFormat="1" applyFont="1" applyBorder="1" applyAlignment="1">
      <alignment horizontal="center" vertical="top"/>
    </xf>
    <xf numFmtId="43" fontId="12" fillId="0" borderId="51" xfId="1" applyFont="1" applyBorder="1" applyAlignment="1">
      <alignment horizontal="left" vertical="top" wrapText="1"/>
    </xf>
    <xf numFmtId="41" fontId="7" fillId="0" borderId="51" xfId="0" applyNumberFormat="1" applyFont="1" applyBorder="1" applyAlignment="1">
      <alignment horizontal="left" vertical="top"/>
    </xf>
    <xf numFmtId="41" fontId="12" fillId="0" borderId="51" xfId="0" applyNumberFormat="1" applyFont="1" applyBorder="1" applyAlignment="1">
      <alignment horizontal="left" vertical="top" wrapText="1"/>
    </xf>
    <xf numFmtId="1" fontId="12" fillId="0" borderId="43" xfId="0" applyNumberFormat="1" applyFont="1" applyBorder="1" applyAlignment="1">
      <alignment horizontal="center" vertical="top" wrapText="1"/>
    </xf>
    <xf numFmtId="41" fontId="12" fillId="0" borderId="41" xfId="1" applyNumberFormat="1" applyFont="1" applyFill="1" applyBorder="1" applyAlignment="1">
      <alignment horizontal="center" vertical="top" wrapText="1"/>
    </xf>
    <xf numFmtId="41" fontId="7" fillId="0" borderId="42" xfId="1" applyNumberFormat="1" applyFont="1" applyFill="1" applyBorder="1" applyAlignment="1">
      <alignment horizontal="center" vertical="top" wrapText="1"/>
    </xf>
    <xf numFmtId="41" fontId="12" fillId="0" borderId="42" xfId="1" applyNumberFormat="1" applyFont="1" applyFill="1" applyBorder="1" applyAlignment="1">
      <alignment horizontal="center" vertical="top" wrapText="1"/>
    </xf>
    <xf numFmtId="43" fontId="12" fillId="0" borderId="42" xfId="1" applyFont="1" applyFill="1" applyBorder="1" applyAlignment="1">
      <alignment horizontal="center" vertical="top" wrapText="1"/>
    </xf>
    <xf numFmtId="1" fontId="12" fillId="0" borderId="40" xfId="0" applyNumberFormat="1" applyFont="1" applyBorder="1" applyAlignment="1">
      <alignment horizontal="center" vertical="top" wrapText="1"/>
    </xf>
    <xf numFmtId="41" fontId="12" fillId="0" borderId="37" xfId="1" applyNumberFormat="1" applyFont="1" applyFill="1" applyBorder="1" applyAlignment="1">
      <alignment horizontal="center" vertical="top" wrapText="1"/>
    </xf>
    <xf numFmtId="188" fontId="35" fillId="10" borderId="1" xfId="1" applyNumberFormat="1" applyFont="1" applyFill="1" applyBorder="1" applyAlignment="1">
      <alignment horizontal="left" vertical="top"/>
    </xf>
    <xf numFmtId="0" fontId="14" fillId="22" borderId="1" xfId="5" applyFont="1" applyFill="1" applyBorder="1" applyAlignment="1">
      <alignment horizontal="center" vertical="center"/>
    </xf>
    <xf numFmtId="0" fontId="7" fillId="14" borderId="1" xfId="5" applyFont="1" applyFill="1" applyBorder="1" applyAlignment="1">
      <alignment horizontal="center" vertical="top"/>
    </xf>
    <xf numFmtId="0" fontId="7" fillId="14" borderId="1" xfId="5" applyFont="1" applyFill="1" applyBorder="1" applyAlignment="1">
      <alignment horizontal="left" wrapText="1"/>
    </xf>
    <xf numFmtId="43" fontId="7" fillId="14" borderId="1" xfId="10" applyFont="1" applyFill="1" applyBorder="1" applyAlignment="1">
      <alignment horizontal="right" vertical="top"/>
    </xf>
    <xf numFmtId="43" fontId="17" fillId="14" borderId="1" xfId="10" applyFont="1" applyFill="1" applyBorder="1" applyAlignment="1">
      <alignment horizontal="right" vertical="top"/>
    </xf>
    <xf numFmtId="2" fontId="17" fillId="14" borderId="1" xfId="5" applyNumberFormat="1" applyFont="1" applyFill="1" applyBorder="1" applyAlignment="1">
      <alignment horizontal="center" vertical="top"/>
    </xf>
    <xf numFmtId="43" fontId="7" fillId="14" borderId="1" xfId="5" applyNumberFormat="1" applyFont="1" applyFill="1" applyBorder="1" applyAlignment="1">
      <alignment horizontal="right" vertical="top"/>
    </xf>
    <xf numFmtId="0" fontId="7" fillId="14" borderId="1" xfId="5" applyFont="1" applyFill="1" applyBorder="1" applyAlignment="1">
      <alignment horizontal="center" vertical="top" wrapText="1"/>
    </xf>
    <xf numFmtId="0" fontId="14" fillId="22" borderId="1" xfId="5" applyFont="1" applyFill="1" applyBorder="1" applyAlignment="1">
      <alignment horizontal="center"/>
    </xf>
    <xf numFmtId="43" fontId="14" fillId="22" borderId="1" xfId="5" applyNumberFormat="1" applyFont="1" applyFill="1" applyBorder="1" applyAlignment="1">
      <alignment horizontal="right" vertical="top"/>
    </xf>
    <xf numFmtId="2" fontId="14" fillId="22" borderId="1" xfId="5" applyNumberFormat="1" applyFont="1" applyFill="1" applyBorder="1" applyAlignment="1">
      <alignment horizontal="center" vertical="top"/>
    </xf>
    <xf numFmtId="0" fontId="14" fillId="22" borderId="1" xfId="5" applyFont="1" applyFill="1" applyBorder="1" applyAlignment="1">
      <alignment horizontal="right" vertical="top"/>
    </xf>
    <xf numFmtId="43" fontId="14" fillId="6" borderId="1" xfId="1" applyFont="1" applyFill="1" applyBorder="1" applyAlignment="1">
      <alignment horizontal="left" vertical="top" wrapText="1"/>
    </xf>
    <xf numFmtId="43" fontId="14" fillId="6" borderId="2" xfId="1" applyFont="1" applyFill="1" applyBorder="1" applyAlignment="1">
      <alignment horizontal="left" vertical="top" wrapText="1"/>
    </xf>
    <xf numFmtId="43" fontId="14" fillId="4" borderId="1" xfId="1" applyFont="1" applyFill="1" applyBorder="1" applyAlignment="1">
      <alignment vertical="top" wrapText="1"/>
    </xf>
    <xf numFmtId="43" fontId="14" fillId="4" borderId="1" xfId="1" applyFont="1" applyFill="1" applyBorder="1" applyAlignment="1">
      <alignment wrapText="1"/>
    </xf>
    <xf numFmtId="43" fontId="14" fillId="5" borderId="1" xfId="1" applyFont="1" applyFill="1" applyBorder="1" applyAlignment="1">
      <alignment horizontal="center" vertical="center" wrapText="1"/>
    </xf>
    <xf numFmtId="49" fontId="43" fillId="0" borderId="5" xfId="1" applyNumberFormat="1" applyFont="1" applyBorder="1" applyAlignment="1">
      <alignment horizontal="center" vertical="top" wrapText="1"/>
    </xf>
    <xf numFmtId="49" fontId="29" fillId="0" borderId="1" xfId="0" applyNumberFormat="1" applyFont="1" applyBorder="1" applyAlignment="1">
      <alignment horizontal="center" vertical="top" wrapText="1"/>
    </xf>
    <xf numFmtId="49" fontId="21" fillId="0" borderId="1" xfId="1" applyNumberFormat="1" applyFont="1" applyFill="1" applyBorder="1" applyAlignment="1">
      <alignment horizontal="center" vertical="top" wrapText="1"/>
    </xf>
    <xf numFmtId="49" fontId="21" fillId="0" borderId="5" xfId="1" applyNumberFormat="1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49" fontId="21" fillId="0" borderId="1" xfId="1" applyNumberFormat="1" applyFont="1" applyBorder="1" applyAlignment="1">
      <alignment horizontal="center" vertical="top" wrapText="1"/>
    </xf>
    <xf numFmtId="41" fontId="21" fillId="0" borderId="1" xfId="1" applyNumberFormat="1" applyFont="1" applyBorder="1" applyAlignment="1">
      <alignment horizontal="center" vertical="top" wrapText="1"/>
    </xf>
    <xf numFmtId="189" fontId="12" fillId="0" borderId="1" xfId="1" applyNumberFormat="1" applyFont="1" applyFill="1" applyBorder="1" applyAlignment="1">
      <alignment horizontal="center" vertical="top" wrapText="1"/>
    </xf>
    <xf numFmtId="189" fontId="12" fillId="0" borderId="1" xfId="1" applyNumberFormat="1" applyFont="1" applyBorder="1" applyAlignment="1">
      <alignment horizontal="center" vertical="top" wrapText="1"/>
    </xf>
    <xf numFmtId="41" fontId="21" fillId="0" borderId="1" xfId="1" applyNumberFormat="1" applyFont="1" applyFill="1" applyBorder="1" applyAlignment="1">
      <alignment horizontal="center" vertical="top" wrapText="1"/>
    </xf>
    <xf numFmtId="49" fontId="21" fillId="0" borderId="38" xfId="1" applyNumberFormat="1" applyFont="1" applyFill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49" fontId="29" fillId="0" borderId="51" xfId="0" applyNumberFormat="1" applyFont="1" applyBorder="1" applyAlignment="1">
      <alignment horizontal="center" vertical="top" wrapText="1"/>
    </xf>
    <xf numFmtId="49" fontId="21" fillId="0" borderId="5" xfId="0" applyNumberFormat="1" applyFont="1" applyBorder="1" applyAlignment="1">
      <alignment horizontal="center" vertical="top" wrapText="1"/>
    </xf>
    <xf numFmtId="41" fontId="21" fillId="0" borderId="16" xfId="0" applyNumberFormat="1" applyFont="1" applyBorder="1" applyAlignment="1">
      <alignment horizontal="center" vertical="top" wrapText="1"/>
    </xf>
    <xf numFmtId="41" fontId="21" fillId="0" borderId="16" xfId="1" applyNumberFormat="1" applyFont="1" applyBorder="1" applyAlignment="1">
      <alignment horizontal="center" vertical="top" wrapText="1"/>
    </xf>
    <xf numFmtId="41" fontId="21" fillId="0" borderId="5" xfId="1" applyNumberFormat="1" applyFont="1" applyBorder="1" applyAlignment="1">
      <alignment horizontal="center" vertical="top" wrapText="1"/>
    </xf>
    <xf numFmtId="49" fontId="21" fillId="0" borderId="7" xfId="1" applyNumberFormat="1" applyFont="1" applyFill="1" applyBorder="1" applyAlignment="1">
      <alignment horizontal="center" vertical="top" wrapText="1"/>
    </xf>
    <xf numFmtId="0" fontId="29" fillId="0" borderId="13" xfId="0" applyNumberFormat="1" applyFont="1" applyBorder="1" applyAlignment="1">
      <alignment horizontal="left" vertical="top" wrapText="1"/>
    </xf>
    <xf numFmtId="0" fontId="29" fillId="0" borderId="18" xfId="0" applyNumberFormat="1" applyFont="1" applyBorder="1" applyAlignment="1">
      <alignment horizontal="left" vertical="top" wrapText="1"/>
    </xf>
    <xf numFmtId="0" fontId="29" fillId="0" borderId="1" xfId="0" applyNumberFormat="1" applyFont="1" applyBorder="1" applyAlignment="1">
      <alignment horizontal="left" vertical="top"/>
    </xf>
    <xf numFmtId="0" fontId="45" fillId="8" borderId="5" xfId="0" applyNumberFormat="1" applyFont="1" applyFill="1" applyBorder="1" applyAlignment="1">
      <alignment vertical="top"/>
    </xf>
    <xf numFmtId="0" fontId="45" fillId="8" borderId="1" xfId="0" applyNumberFormat="1" applyFont="1" applyFill="1" applyBorder="1" applyAlignment="1">
      <alignment horizontal="left" vertical="top"/>
    </xf>
    <xf numFmtId="0" fontId="45" fillId="8" borderId="5" xfId="0" applyNumberFormat="1" applyFont="1" applyFill="1" applyBorder="1" applyAlignment="1">
      <alignment horizontal="left" vertical="top" wrapText="1"/>
    </xf>
    <xf numFmtId="0" fontId="21" fillId="0" borderId="42" xfId="0" applyNumberFormat="1" applyFont="1" applyBorder="1" applyAlignment="1">
      <alignment horizontal="left" vertical="top" wrapText="1"/>
    </xf>
    <xf numFmtId="0" fontId="21" fillId="8" borderId="1" xfId="0" applyNumberFormat="1" applyFont="1" applyFill="1" applyBorder="1" applyAlignment="1">
      <alignment horizontal="left" vertical="top" wrapText="1"/>
    </xf>
    <xf numFmtId="0" fontId="46" fillId="7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left" vertical="top" wrapText="1"/>
    </xf>
    <xf numFmtId="0" fontId="29" fillId="0" borderId="16" xfId="0" applyNumberFormat="1" applyFont="1" applyBorder="1" applyAlignment="1">
      <alignment horizontal="left" vertical="top" wrapText="1"/>
    </xf>
    <xf numFmtId="0" fontId="29" fillId="0" borderId="51" xfId="0" applyNumberFormat="1" applyFont="1" applyBorder="1" applyAlignment="1">
      <alignment horizontal="left" vertical="top" wrapText="1"/>
    </xf>
    <xf numFmtId="0" fontId="46" fillId="6" borderId="1" xfId="0" applyNumberFormat="1" applyFont="1" applyFill="1" applyBorder="1" applyAlignment="1">
      <alignment horizontal="left" vertical="top" wrapText="1"/>
    </xf>
    <xf numFmtId="0" fontId="46" fillId="5" borderId="1" xfId="0" applyNumberFormat="1" applyFont="1" applyFill="1" applyBorder="1" applyAlignment="1">
      <alignment horizontal="center" vertical="center" wrapText="1"/>
    </xf>
    <xf numFmtId="0" fontId="45" fillId="4" borderId="1" xfId="0" applyNumberFormat="1" applyFont="1" applyFill="1" applyBorder="1" applyAlignment="1">
      <alignment wrapText="1"/>
    </xf>
    <xf numFmtId="0" fontId="21" fillId="4" borderId="2" xfId="0" applyNumberFormat="1" applyFont="1" applyFill="1" applyBorder="1" applyAlignment="1">
      <alignment horizontal="left" vertical="top" wrapText="1"/>
    </xf>
    <xf numFmtId="0" fontId="45" fillId="4" borderId="2" xfId="0" applyNumberFormat="1" applyFont="1" applyFill="1" applyBorder="1" applyAlignment="1">
      <alignment horizontal="left" vertical="top" wrapText="1"/>
    </xf>
    <xf numFmtId="0" fontId="45" fillId="18" borderId="2" xfId="0" applyFont="1" applyFill="1" applyBorder="1" applyAlignment="1">
      <alignment horizontal="left" vertical="top" wrapText="1"/>
    </xf>
    <xf numFmtId="0" fontId="46" fillId="9" borderId="1" xfId="0" applyNumberFormat="1" applyFont="1" applyFill="1" applyBorder="1" applyAlignment="1">
      <alignment horizontal="left" vertical="top"/>
    </xf>
    <xf numFmtId="0" fontId="21" fillId="8" borderId="1" xfId="0" applyNumberFormat="1" applyFont="1" applyFill="1" applyBorder="1" applyAlignment="1">
      <alignment horizontal="left"/>
    </xf>
    <xf numFmtId="41" fontId="47" fillId="0" borderId="1" xfId="1" applyNumberFormat="1" applyFont="1" applyBorder="1" applyAlignment="1">
      <alignment horizontal="center" vertical="top" wrapText="1"/>
    </xf>
    <xf numFmtId="43" fontId="14" fillId="7" borderId="1" xfId="1" applyFont="1" applyFill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left" vertical="top" wrapText="1"/>
    </xf>
    <xf numFmtId="41" fontId="12" fillId="0" borderId="14" xfId="0" applyNumberFormat="1" applyFont="1" applyBorder="1" applyAlignment="1">
      <alignment horizontal="left" vertical="top" wrapText="1"/>
    </xf>
    <xf numFmtId="41" fontId="12" fillId="6" borderId="1" xfId="0" applyNumberFormat="1" applyFont="1" applyFill="1" applyBorder="1" applyAlignment="1">
      <alignment horizontal="left" vertical="top" wrapText="1"/>
    </xf>
    <xf numFmtId="41" fontId="12" fillId="5" borderId="13" xfId="0" applyNumberFormat="1" applyFont="1" applyFill="1" applyBorder="1" applyAlignment="1">
      <alignment horizontal="left" vertical="top" wrapText="1"/>
    </xf>
    <xf numFmtId="41" fontId="12" fillId="4" borderId="13" xfId="0" applyNumberFormat="1" applyFont="1" applyFill="1" applyBorder="1" applyAlignment="1">
      <alignment horizontal="left" vertical="top" wrapText="1"/>
    </xf>
    <xf numFmtId="43" fontId="14" fillId="8" borderId="1" xfId="1" applyFont="1" applyFill="1" applyBorder="1" applyAlignment="1">
      <alignment horizontal="center" vertical="top" wrapText="1"/>
    </xf>
    <xf numFmtId="41" fontId="14" fillId="10" borderId="1" xfId="0" applyNumberFormat="1" applyFont="1" applyFill="1" applyBorder="1" applyAlignment="1">
      <alignment horizontal="left" vertical="top"/>
    </xf>
    <xf numFmtId="41" fontId="14" fillId="24" borderId="1" xfId="0" applyNumberFormat="1" applyFont="1" applyFill="1" applyBorder="1" applyAlignment="1">
      <alignment horizontal="left" vertical="top"/>
    </xf>
    <xf numFmtId="41" fontId="11" fillId="23" borderId="1" xfId="0" applyNumberFormat="1" applyFont="1" applyFill="1" applyBorder="1" applyAlignment="1">
      <alignment horizontal="left" vertical="top" wrapText="1"/>
    </xf>
    <xf numFmtId="41" fontId="7" fillId="10" borderId="1" xfId="0" applyNumberFormat="1" applyFont="1" applyFill="1" applyBorder="1" applyAlignment="1">
      <alignment horizontal="left" vertical="top"/>
    </xf>
    <xf numFmtId="41" fontId="29" fillId="0" borderId="1" xfId="0" applyNumberFormat="1" applyFont="1" applyBorder="1" applyAlignment="1">
      <alignment horizontal="center" vertical="top" wrapText="1"/>
    </xf>
    <xf numFmtId="187" fontId="12" fillId="0" borderId="0" xfId="0" applyNumberFormat="1" applyFont="1" applyBorder="1" applyAlignment="1"/>
    <xf numFmtId="187" fontId="12" fillId="0" borderId="0" xfId="0" applyNumberFormat="1" applyFont="1" applyBorder="1" applyAlignment="1">
      <alignment wrapText="1"/>
    </xf>
    <xf numFmtId="43" fontId="35" fillId="10" borderId="1" xfId="1" applyFont="1" applyFill="1" applyBorder="1" applyAlignment="1">
      <alignment horizontal="left" vertical="top"/>
    </xf>
    <xf numFmtId="41" fontId="21" fillId="0" borderId="7" xfId="1" applyNumberFormat="1" applyFont="1" applyFill="1" applyBorder="1" applyAlignment="1">
      <alignment horizontal="center" vertical="top" wrapText="1"/>
    </xf>
    <xf numFmtId="41" fontId="21" fillId="0" borderId="16" xfId="0" applyNumberFormat="1" applyFont="1" applyBorder="1" applyAlignment="1">
      <alignment horizontal="center" vertical="center" wrapText="1"/>
    </xf>
    <xf numFmtId="41" fontId="21" fillId="0" borderId="5" xfId="0" applyNumberFormat="1" applyFont="1" applyBorder="1" applyAlignment="1">
      <alignment horizontal="center" vertical="center" wrapText="1"/>
    </xf>
    <xf numFmtId="41" fontId="21" fillId="0" borderId="13" xfId="0" applyNumberFormat="1" applyFont="1" applyBorder="1" applyAlignment="1">
      <alignment horizontal="center" vertical="center" wrapText="1"/>
    </xf>
    <xf numFmtId="43" fontId="11" fillId="8" borderId="1" xfId="1" applyFont="1" applyFill="1" applyBorder="1" applyAlignment="1">
      <alignment horizontal="center" vertical="top" wrapText="1"/>
    </xf>
    <xf numFmtId="41" fontId="21" fillId="0" borderId="13" xfId="0" applyNumberFormat="1" applyFont="1" applyBorder="1" applyAlignment="1">
      <alignment horizontal="center" vertical="top" wrapText="1"/>
    </xf>
    <xf numFmtId="188" fontId="21" fillId="0" borderId="2" xfId="8" applyNumberFormat="1" applyFont="1" applyBorder="1" applyAlignment="1">
      <alignment horizontal="center" vertical="center" wrapText="1"/>
    </xf>
    <xf numFmtId="49" fontId="29" fillId="0" borderId="5" xfId="1" applyNumberFormat="1" applyFont="1" applyBorder="1" applyAlignment="1">
      <alignment horizontal="center" vertical="top" wrapText="1"/>
    </xf>
    <xf numFmtId="41" fontId="12" fillId="0" borderId="19" xfId="1" applyNumberFormat="1" applyFont="1" applyFill="1" applyBorder="1" applyAlignment="1">
      <alignment horizontal="center" vertical="top" wrapText="1"/>
    </xf>
    <xf numFmtId="41" fontId="12" fillId="0" borderId="5" xfId="1" applyNumberFormat="1" applyFont="1" applyFill="1" applyBorder="1" applyAlignment="1">
      <alignment horizontal="center" vertical="top" wrapText="1"/>
    </xf>
    <xf numFmtId="41" fontId="21" fillId="0" borderId="1" xfId="0" applyNumberFormat="1" applyFont="1" applyBorder="1" applyAlignment="1">
      <alignment horizontal="center" vertical="top" wrapText="1"/>
    </xf>
    <xf numFmtId="41" fontId="12" fillId="0" borderId="1" xfId="0" applyNumberFormat="1" applyFont="1" applyBorder="1" applyAlignment="1">
      <alignment horizontal="left" vertical="top" wrapText="1"/>
    </xf>
    <xf numFmtId="41" fontId="21" fillId="0" borderId="1" xfId="0" applyNumberFormat="1" applyFont="1" applyBorder="1" applyAlignment="1">
      <alignment horizontal="center" vertical="center" wrapText="1"/>
    </xf>
    <xf numFmtId="41" fontId="29" fillId="0" borderId="13" xfId="0" applyNumberFormat="1" applyFont="1" applyBorder="1" applyAlignment="1">
      <alignment horizontal="center" vertical="center" wrapText="1"/>
    </xf>
    <xf numFmtId="41" fontId="21" fillId="0" borderId="19" xfId="1" applyNumberFormat="1" applyFont="1" applyFill="1" applyBorder="1" applyAlignment="1">
      <alignment horizontal="center" vertical="top" wrapText="1"/>
    </xf>
    <xf numFmtId="190" fontId="12" fillId="0" borderId="0" xfId="0" applyNumberFormat="1" applyFont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5" fillId="0" borderId="19" xfId="0" applyNumberFormat="1" applyFont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7" fillId="0" borderId="26" xfId="0" applyNumberFormat="1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7" fillId="0" borderId="26" xfId="0" applyNumberFormat="1" applyFont="1" applyFill="1" applyBorder="1" applyAlignment="1">
      <alignment vertical="top"/>
    </xf>
    <xf numFmtId="0" fontId="7" fillId="0" borderId="2" xfId="0" applyNumberFormat="1" applyFont="1" applyFill="1" applyBorder="1" applyAlignment="1">
      <alignment vertical="top"/>
    </xf>
    <xf numFmtId="0" fontId="11" fillId="4" borderId="3" xfId="0" applyNumberFormat="1" applyFont="1" applyFill="1" applyBorder="1" applyAlignment="1">
      <alignment vertical="top" wrapText="1"/>
    </xf>
    <xf numFmtId="0" fontId="11" fillId="4" borderId="2" xfId="0" applyNumberFormat="1" applyFont="1" applyFill="1" applyBorder="1" applyAlignment="1">
      <alignment vertical="top" wrapText="1"/>
    </xf>
    <xf numFmtId="0" fontId="5" fillId="6" borderId="3" xfId="0" applyNumberFormat="1" applyFont="1" applyFill="1" applyBorder="1" applyAlignment="1">
      <alignment horizontal="left" vertical="top"/>
    </xf>
    <xf numFmtId="0" fontId="5" fillId="6" borderId="2" xfId="0" applyNumberFormat="1" applyFont="1" applyFill="1" applyBorder="1" applyAlignment="1">
      <alignment horizontal="left" vertical="top"/>
    </xf>
    <xf numFmtId="0" fontId="7" fillId="0" borderId="26" xfId="0" applyNumberFormat="1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14" fillId="5" borderId="4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NumberFormat="1" applyFont="1" applyFill="1" applyBorder="1" applyAlignment="1">
      <alignment vertical="top"/>
    </xf>
    <xf numFmtId="0" fontId="11" fillId="4" borderId="2" xfId="0" applyNumberFormat="1" applyFont="1" applyFill="1" applyBorder="1" applyAlignment="1">
      <alignment vertical="top"/>
    </xf>
    <xf numFmtId="0" fontId="12" fillId="0" borderId="26" xfId="0" applyNumberFormat="1" applyFont="1" applyBorder="1" applyAlignment="1">
      <alignment vertical="top" wrapText="1"/>
    </xf>
    <xf numFmtId="0" fontId="12" fillId="0" borderId="2" xfId="0" applyNumberFormat="1" applyFont="1" applyBorder="1" applyAlignment="1">
      <alignment vertical="top" wrapText="1"/>
    </xf>
    <xf numFmtId="0" fontId="14" fillId="6" borderId="3" xfId="0" applyNumberFormat="1" applyFont="1" applyFill="1" applyBorder="1" applyAlignment="1">
      <alignment horizontal="left" vertical="top" wrapText="1"/>
    </xf>
    <xf numFmtId="0" fontId="14" fillId="6" borderId="2" xfId="0" applyNumberFormat="1" applyFont="1" applyFill="1" applyBorder="1" applyAlignment="1">
      <alignment horizontal="left" vertical="top" wrapText="1"/>
    </xf>
    <xf numFmtId="0" fontId="19" fillId="0" borderId="30" xfId="0" applyNumberFormat="1" applyFont="1" applyBorder="1" applyAlignment="1">
      <alignment horizontal="left" vertical="top" wrapText="1"/>
    </xf>
    <xf numFmtId="0" fontId="19" fillId="0" borderId="31" xfId="0" applyNumberFormat="1" applyFont="1" applyBorder="1" applyAlignment="1">
      <alignment horizontal="left" vertical="top" wrapText="1"/>
    </xf>
    <xf numFmtId="0" fontId="19" fillId="0" borderId="32" xfId="0" applyNumberFormat="1" applyFont="1" applyBorder="1" applyAlignment="1">
      <alignment horizontal="left" vertical="top" wrapText="1"/>
    </xf>
    <xf numFmtId="0" fontId="19" fillId="0" borderId="33" xfId="0" applyNumberFormat="1" applyFont="1" applyBorder="1" applyAlignment="1">
      <alignment horizontal="left" vertical="top" wrapText="1"/>
    </xf>
    <xf numFmtId="0" fontId="12" fillId="0" borderId="26" xfId="0" applyNumberFormat="1" applyFont="1" applyBorder="1" applyAlignment="1">
      <alignment horizontal="left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7" fillId="0" borderId="29" xfId="0" applyNumberFormat="1" applyFont="1" applyBorder="1" applyAlignment="1">
      <alignment horizontal="left" vertical="top" wrapText="1"/>
    </xf>
    <xf numFmtId="0" fontId="7" fillId="0" borderId="20" xfId="0" applyNumberFormat="1" applyFont="1" applyBorder="1" applyAlignment="1">
      <alignment horizontal="left" vertical="top" wrapText="1"/>
    </xf>
    <xf numFmtId="0" fontId="19" fillId="0" borderId="49" xfId="0" applyNumberFormat="1" applyFont="1" applyBorder="1" applyAlignment="1">
      <alignment horizontal="left" vertical="top" wrapText="1"/>
    </xf>
    <xf numFmtId="0" fontId="19" fillId="0" borderId="50" xfId="0" applyNumberFormat="1" applyFont="1" applyBorder="1" applyAlignment="1">
      <alignment horizontal="left" vertical="top" wrapText="1"/>
    </xf>
    <xf numFmtId="0" fontId="19" fillId="0" borderId="46" xfId="0" applyNumberFormat="1" applyFont="1" applyBorder="1" applyAlignment="1">
      <alignment horizontal="left" vertical="top" wrapText="1"/>
    </xf>
    <xf numFmtId="0" fontId="19" fillId="0" borderId="47" xfId="0" applyNumberFormat="1" applyFont="1" applyBorder="1" applyAlignment="1">
      <alignment horizontal="left" vertical="top" wrapText="1"/>
    </xf>
    <xf numFmtId="0" fontId="12" fillId="0" borderId="3" xfId="0" applyNumberFormat="1" applyFont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28" fillId="0" borderId="26" xfId="0" applyNumberFormat="1" applyFont="1" applyBorder="1" applyAlignment="1">
      <alignment horizontal="left" vertical="top" wrapText="1"/>
    </xf>
    <xf numFmtId="0" fontId="11" fillId="8" borderId="3" xfId="0" applyNumberFormat="1" applyFont="1" applyFill="1" applyBorder="1" applyAlignment="1">
      <alignment horizontal="left" vertical="top" wrapText="1"/>
    </xf>
    <xf numFmtId="0" fontId="11" fillId="8" borderId="2" xfId="0" applyNumberFormat="1" applyFont="1" applyFill="1" applyBorder="1" applyAlignment="1">
      <alignment horizontal="left" vertical="top" wrapText="1"/>
    </xf>
    <xf numFmtId="0" fontId="7" fillId="0" borderId="27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4" fillId="8" borderId="3" xfId="0" applyNumberFormat="1" applyFont="1" applyFill="1" applyBorder="1" applyAlignment="1">
      <alignment horizontal="left" vertical="top" wrapText="1"/>
    </xf>
    <xf numFmtId="0" fontId="4" fillId="8" borderId="2" xfId="0" applyNumberFormat="1" applyFont="1" applyFill="1" applyBorder="1" applyAlignment="1">
      <alignment horizontal="left" vertical="top" wrapText="1"/>
    </xf>
    <xf numFmtId="0" fontId="28" fillId="0" borderId="2" xfId="0" applyNumberFormat="1" applyFont="1" applyBorder="1" applyAlignment="1">
      <alignment horizontal="left" vertical="top" wrapText="1"/>
    </xf>
    <xf numFmtId="0" fontId="12" fillId="0" borderId="35" xfId="0" applyNumberFormat="1" applyFont="1" applyBorder="1" applyAlignment="1">
      <alignment horizontal="left" vertical="top" wrapText="1"/>
    </xf>
    <xf numFmtId="0" fontId="12" fillId="0" borderId="36" xfId="0" applyNumberFormat="1" applyFont="1" applyBorder="1" applyAlignment="1">
      <alignment horizontal="left" vertical="top" wrapText="1"/>
    </xf>
    <xf numFmtId="0" fontId="19" fillId="0" borderId="44" xfId="0" applyNumberFormat="1" applyFont="1" applyBorder="1" applyAlignment="1">
      <alignment horizontal="left" vertical="top" wrapText="1"/>
    </xf>
    <xf numFmtId="0" fontId="19" fillId="0" borderId="39" xfId="0" applyNumberFormat="1" applyFont="1" applyBorder="1" applyAlignment="1">
      <alignment horizontal="left" vertical="top" wrapText="1"/>
    </xf>
    <xf numFmtId="0" fontId="19" fillId="0" borderId="34" xfId="0" applyNumberFormat="1" applyFont="1" applyBorder="1" applyAlignment="1">
      <alignment horizontal="left" vertical="top" wrapText="1"/>
    </xf>
    <xf numFmtId="0" fontId="19" fillId="0" borderId="7" xfId="0" applyNumberFormat="1" applyFont="1" applyBorder="1" applyAlignment="1">
      <alignment horizontal="left" vertical="top" wrapText="1"/>
    </xf>
    <xf numFmtId="0" fontId="7" fillId="0" borderId="26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2" fillId="0" borderId="26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4" fillId="9" borderId="4" xfId="0" applyFont="1" applyFill="1" applyBorder="1" applyAlignment="1">
      <alignment horizontal="left" vertical="top"/>
    </xf>
    <xf numFmtId="0" fontId="14" fillId="9" borderId="3" xfId="0" applyFont="1" applyFill="1" applyBorder="1" applyAlignment="1">
      <alignment horizontal="left" vertical="top"/>
    </xf>
    <xf numFmtId="0" fontId="14" fillId="9" borderId="2" xfId="0" applyFont="1" applyFill="1" applyBorder="1" applyAlignment="1">
      <alignment horizontal="left" vertical="top"/>
    </xf>
    <xf numFmtId="0" fontId="11" fillId="8" borderId="4" xfId="0" applyFont="1" applyFill="1" applyBorder="1" applyAlignment="1">
      <alignment horizontal="left" vertical="top"/>
    </xf>
    <xf numFmtId="0" fontId="11" fillId="8" borderId="3" xfId="0" applyFont="1" applyFill="1" applyBorder="1" applyAlignment="1">
      <alignment horizontal="left" vertical="top"/>
    </xf>
    <xf numFmtId="0" fontId="11" fillId="8" borderId="2" xfId="0" applyFont="1" applyFill="1" applyBorder="1" applyAlignment="1">
      <alignment horizontal="left" vertical="top"/>
    </xf>
    <xf numFmtId="0" fontId="7" fillId="0" borderId="26" xfId="0" applyNumberFormat="1" applyFont="1" applyBorder="1" applyAlignment="1">
      <alignment horizontal="left" vertical="top"/>
    </xf>
    <xf numFmtId="0" fontId="7" fillId="0" borderId="2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1" fontId="11" fillId="0" borderId="11" xfId="0" applyNumberFormat="1" applyFont="1" applyBorder="1" applyAlignment="1">
      <alignment horizontal="center" vertical="center" wrapText="1"/>
    </xf>
    <xf numFmtId="41" fontId="11" fillId="0" borderId="23" xfId="0" applyNumberFormat="1" applyFont="1" applyBorder="1" applyAlignment="1">
      <alignment horizontal="center" vertical="center" wrapText="1"/>
    </xf>
    <xf numFmtId="41" fontId="11" fillId="0" borderId="8" xfId="0" applyNumberFormat="1" applyFont="1" applyBorder="1" applyAlignment="1">
      <alignment horizontal="center" vertical="center" wrapText="1"/>
    </xf>
    <xf numFmtId="41" fontId="11" fillId="0" borderId="9" xfId="0" applyNumberFormat="1" applyFont="1" applyBorder="1" applyAlignment="1">
      <alignment horizontal="center" vertical="center" wrapText="1"/>
    </xf>
    <xf numFmtId="41" fontId="11" fillId="0" borderId="12" xfId="0" applyNumberFormat="1" applyFont="1" applyBorder="1" applyAlignment="1">
      <alignment horizontal="center" vertical="center" wrapText="1"/>
    </xf>
    <xf numFmtId="41" fontId="11" fillId="0" borderId="7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wrapText="1"/>
    </xf>
    <xf numFmtId="0" fontId="11" fillId="11" borderId="4" xfId="9" applyFont="1" applyFill="1" applyBorder="1" applyAlignment="1">
      <alignment horizontal="center" vertical="top" wrapText="1"/>
    </xf>
    <xf numFmtId="0" fontId="11" fillId="11" borderId="3" xfId="9" applyFont="1" applyFill="1" applyBorder="1" applyAlignment="1">
      <alignment horizontal="center" vertical="top" wrapText="1"/>
    </xf>
    <xf numFmtId="0" fontId="11" fillId="14" borderId="11" xfId="9" applyFont="1" applyFill="1" applyBorder="1" applyAlignment="1">
      <alignment horizontal="left" vertical="top" wrapText="1"/>
    </xf>
    <xf numFmtId="0" fontId="11" fillId="14" borderId="8" xfId="9" applyFont="1" applyFill="1" applyBorder="1" applyAlignment="1">
      <alignment horizontal="left" vertical="top" wrapText="1"/>
    </xf>
    <xf numFmtId="0" fontId="11" fillId="15" borderId="5" xfId="9" applyFont="1" applyFill="1" applyBorder="1" applyAlignment="1">
      <alignment horizontal="left" vertical="top" wrapText="1"/>
    </xf>
    <xf numFmtId="0" fontId="11" fillId="16" borderId="4" xfId="9" applyFont="1" applyFill="1" applyBorder="1" applyAlignment="1">
      <alignment horizontal="left" vertical="top" wrapText="1"/>
    </xf>
    <xf numFmtId="0" fontId="11" fillId="16" borderId="2" xfId="9" applyFont="1" applyFill="1" applyBorder="1" applyAlignment="1">
      <alignment horizontal="left" vertical="top" wrapText="1"/>
    </xf>
    <xf numFmtId="0" fontId="4" fillId="17" borderId="11" xfId="9" applyFont="1" applyFill="1" applyBorder="1" applyAlignment="1">
      <alignment horizontal="left" vertical="top" wrapText="1"/>
    </xf>
    <xf numFmtId="0" fontId="4" fillId="17" borderId="8" xfId="9" applyFont="1" applyFill="1" applyBorder="1" applyAlignment="1">
      <alignment horizontal="left" vertical="top" wrapText="1"/>
    </xf>
    <xf numFmtId="0" fontId="11" fillId="13" borderId="4" xfId="9" applyFont="1" applyFill="1" applyBorder="1" applyAlignment="1">
      <alignment horizontal="left" vertical="top" wrapText="1"/>
    </xf>
    <xf numFmtId="0" fontId="11" fillId="13" borderId="2" xfId="9" applyFont="1" applyFill="1" applyBorder="1" applyAlignment="1">
      <alignment horizontal="left" vertical="top" wrapText="1"/>
    </xf>
    <xf numFmtId="0" fontId="11" fillId="0" borderId="0" xfId="9" applyFont="1" applyAlignment="1">
      <alignment horizontal="center" vertical="top" wrapText="1"/>
    </xf>
    <xf numFmtId="0" fontId="13" fillId="0" borderId="12" xfId="9" applyFont="1" applyBorder="1" applyAlignment="1">
      <alignment horizontal="right" vertical="top" wrapText="1"/>
    </xf>
    <xf numFmtId="0" fontId="11" fillId="11" borderId="2" xfId="9" applyFont="1" applyFill="1" applyBorder="1" applyAlignment="1">
      <alignment horizontal="center" vertical="top" wrapText="1"/>
    </xf>
    <xf numFmtId="0" fontId="11" fillId="12" borderId="4" xfId="9" applyFont="1" applyFill="1" applyBorder="1" applyAlignment="1">
      <alignment horizontal="left" vertical="top" wrapText="1"/>
    </xf>
    <xf numFmtId="0" fontId="11" fillId="12" borderId="2" xfId="9" applyFont="1" applyFill="1" applyBorder="1" applyAlignment="1">
      <alignment horizontal="left" vertical="top" wrapText="1"/>
    </xf>
    <xf numFmtId="0" fontId="11" fillId="0" borderId="8" xfId="9" applyFont="1" applyFill="1" applyBorder="1" applyAlignment="1">
      <alignment horizontal="center" vertical="center" wrapText="1"/>
    </xf>
    <xf numFmtId="0" fontId="11" fillId="0" borderId="7" xfId="9" applyFont="1" applyFill="1" applyBorder="1" applyAlignment="1">
      <alignment horizontal="center" vertical="center" wrapText="1"/>
    </xf>
    <xf numFmtId="0" fontId="11" fillId="0" borderId="11" xfId="9" applyFont="1" applyFill="1" applyBorder="1" applyAlignment="1">
      <alignment horizontal="center" vertical="center" wrapText="1"/>
    </xf>
    <xf numFmtId="0" fontId="11" fillId="0" borderId="9" xfId="9" applyFont="1" applyFill="1" applyBorder="1" applyAlignment="1">
      <alignment horizontal="center" vertical="center" wrapText="1"/>
    </xf>
    <xf numFmtId="188" fontId="11" fillId="0" borderId="4" xfId="8" applyNumberFormat="1" applyFont="1" applyFill="1" applyBorder="1" applyAlignment="1">
      <alignment horizontal="center" vertical="center" wrapText="1"/>
    </xf>
    <xf numFmtId="188" fontId="11" fillId="0" borderId="3" xfId="8" applyNumberFormat="1" applyFont="1" applyFill="1" applyBorder="1" applyAlignment="1">
      <alignment horizontal="center" vertical="center" wrapText="1"/>
    </xf>
    <xf numFmtId="188" fontId="11" fillId="0" borderId="2" xfId="8" applyNumberFormat="1" applyFont="1" applyFill="1" applyBorder="1" applyAlignment="1">
      <alignment horizontal="center" vertical="center" wrapText="1"/>
    </xf>
    <xf numFmtId="0" fontId="11" fillId="0" borderId="19" xfId="9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center" vertical="center" wrapText="1"/>
    </xf>
    <xf numFmtId="188" fontId="11" fillId="0" borderId="19" xfId="8" applyNumberFormat="1" applyFont="1" applyFill="1" applyBorder="1" applyAlignment="1">
      <alignment horizontal="center" vertical="center" wrapText="1"/>
    </xf>
    <xf numFmtId="188" fontId="11" fillId="0" borderId="5" xfId="8" applyNumberFormat="1" applyFont="1" applyFill="1" applyBorder="1" applyAlignment="1">
      <alignment horizontal="center" vertical="center" wrapText="1"/>
    </xf>
    <xf numFmtId="41" fontId="11" fillId="0" borderId="1" xfId="0" applyNumberFormat="1" applyFont="1" applyBorder="1" applyAlignment="1">
      <alignment horizontal="center" vertical="center" wrapText="1"/>
    </xf>
    <xf numFmtId="41" fontId="11" fillId="0" borderId="19" xfId="0" applyNumberFormat="1" applyFont="1" applyBorder="1" applyAlignment="1">
      <alignment horizontal="center" vertical="center" wrapText="1"/>
    </xf>
    <xf numFmtId="41" fontId="11" fillId="0" borderId="5" xfId="0" applyNumberFormat="1" applyFont="1" applyBorder="1" applyAlignment="1">
      <alignment horizontal="center" vertical="center" wrapText="1"/>
    </xf>
    <xf numFmtId="41" fontId="14" fillId="0" borderId="19" xfId="0" applyNumberFormat="1" applyFont="1" applyBorder="1" applyAlignment="1">
      <alignment horizontal="center" vertical="center" wrapText="1"/>
    </xf>
    <xf numFmtId="41" fontId="14" fillId="0" borderId="5" xfId="0" applyNumberFormat="1" applyFont="1" applyBorder="1" applyAlignment="1">
      <alignment horizontal="center" vertical="center" wrapText="1"/>
    </xf>
    <xf numFmtId="41" fontId="14" fillId="10" borderId="19" xfId="0" applyNumberFormat="1" applyFont="1" applyFill="1" applyBorder="1" applyAlignment="1">
      <alignment horizontal="center" vertical="center" wrapText="1"/>
    </xf>
    <xf numFmtId="41" fontId="14" fillId="10" borderId="5" xfId="0" applyNumberFormat="1" applyFont="1" applyFill="1" applyBorder="1" applyAlignment="1">
      <alignment horizontal="center" vertical="center" wrapText="1"/>
    </xf>
    <xf numFmtId="41" fontId="11" fillId="0" borderId="4" xfId="0" applyNumberFormat="1" applyFont="1" applyBorder="1" applyAlignment="1">
      <alignment horizontal="center" vertical="center" wrapText="1"/>
    </xf>
    <xf numFmtId="41" fontId="11" fillId="0" borderId="3" xfId="0" applyNumberFormat="1" applyFont="1" applyBorder="1" applyAlignment="1">
      <alignment horizontal="center" vertical="center" wrapText="1"/>
    </xf>
    <xf numFmtId="41" fontId="11" fillId="0" borderId="2" xfId="0" applyNumberFormat="1" applyFont="1" applyBorder="1" applyAlignment="1">
      <alignment horizontal="center" vertical="center" wrapText="1"/>
    </xf>
    <xf numFmtId="1" fontId="11" fillId="18" borderId="4" xfId="0" applyNumberFormat="1" applyFont="1" applyFill="1" applyBorder="1" applyAlignment="1">
      <alignment horizontal="center" vertical="top" wrapText="1"/>
    </xf>
    <xf numFmtId="1" fontId="11" fillId="18" borderId="3" xfId="0" applyNumberFormat="1" applyFont="1" applyFill="1" applyBorder="1" applyAlignment="1">
      <alignment horizontal="center" vertical="top" wrapText="1"/>
    </xf>
    <xf numFmtId="1" fontId="11" fillId="18" borderId="2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left" vertical="top" wrapText="1"/>
    </xf>
    <xf numFmtId="0" fontId="11" fillId="8" borderId="4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2" fillId="0" borderId="44" xfId="0" applyNumberFormat="1" applyFont="1" applyBorder="1" applyAlignment="1">
      <alignment horizontal="left" vertical="top" wrapText="1"/>
    </xf>
    <xf numFmtId="0" fontId="12" fillId="0" borderId="39" xfId="0" applyNumberFormat="1" applyFont="1" applyBorder="1" applyAlignment="1">
      <alignment horizontal="left" vertical="top" wrapText="1"/>
    </xf>
    <xf numFmtId="0" fontId="12" fillId="0" borderId="34" xfId="0" applyNumberFormat="1" applyFont="1" applyBorder="1" applyAlignment="1">
      <alignment horizontal="left" vertical="top" wrapText="1"/>
    </xf>
    <xf numFmtId="0" fontId="12" fillId="0" borderId="7" xfId="0" applyNumberFormat="1" applyFont="1" applyBorder="1" applyAlignment="1">
      <alignment horizontal="left" vertical="top" wrapText="1"/>
    </xf>
    <xf numFmtId="0" fontId="12" fillId="0" borderId="46" xfId="0" applyNumberFormat="1" applyFont="1" applyBorder="1" applyAlignment="1">
      <alignment horizontal="left" vertical="top" wrapText="1"/>
    </xf>
    <xf numFmtId="0" fontId="12" fillId="0" borderId="47" xfId="0" applyNumberFormat="1" applyFont="1" applyBorder="1" applyAlignment="1">
      <alignment horizontal="left" vertical="top" wrapText="1"/>
    </xf>
    <xf numFmtId="0" fontId="12" fillId="0" borderId="30" xfId="0" applyNumberFormat="1" applyFont="1" applyBorder="1" applyAlignment="1">
      <alignment horizontal="left" vertical="top" wrapText="1"/>
    </xf>
    <xf numFmtId="0" fontId="12" fillId="0" borderId="31" xfId="0" applyNumberFormat="1" applyFont="1" applyBorder="1" applyAlignment="1">
      <alignment horizontal="left" vertical="top" wrapText="1"/>
    </xf>
    <xf numFmtId="0" fontId="12" fillId="0" borderId="32" xfId="0" applyNumberFormat="1" applyFont="1" applyBorder="1" applyAlignment="1">
      <alignment horizontal="left" vertical="top" wrapText="1"/>
    </xf>
    <xf numFmtId="0" fontId="12" fillId="0" borderId="33" xfId="0" applyNumberFormat="1" applyFont="1" applyBorder="1" applyAlignment="1">
      <alignment horizontal="left" vertical="top" wrapText="1"/>
    </xf>
    <xf numFmtId="0" fontId="12" fillId="0" borderId="27" xfId="0" applyNumberFormat="1" applyFont="1" applyBorder="1" applyAlignment="1">
      <alignment horizontal="left" vertical="top" wrapText="1"/>
    </xf>
    <xf numFmtId="0" fontId="12" fillId="0" borderId="8" xfId="0" applyNumberFormat="1" applyFont="1" applyBorder="1" applyAlignment="1">
      <alignment horizontal="left" vertical="top" wrapText="1"/>
    </xf>
    <xf numFmtId="0" fontId="12" fillId="0" borderId="26" xfId="0" applyNumberFormat="1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>
      <alignment horizontal="left" vertical="top" wrapText="1"/>
    </xf>
    <xf numFmtId="41" fontId="11" fillId="0" borderId="14" xfId="0" applyNumberFormat="1" applyFont="1" applyBorder="1" applyAlignment="1">
      <alignment horizontal="center" vertical="center" wrapText="1"/>
    </xf>
    <xf numFmtId="43" fontId="14" fillId="10" borderId="19" xfId="1" applyFont="1" applyFill="1" applyBorder="1" applyAlignment="1">
      <alignment horizontal="center" vertical="center" wrapText="1"/>
    </xf>
    <xf numFmtId="43" fontId="14" fillId="10" borderId="5" xfId="1" applyFont="1" applyFill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1" fontId="12" fillId="0" borderId="19" xfId="1" applyNumberFormat="1" applyFont="1" applyBorder="1" applyAlignment="1">
      <alignment horizontal="center" vertical="top" wrapText="1"/>
    </xf>
    <xf numFmtId="41" fontId="12" fillId="0" borderId="5" xfId="1" applyNumberFormat="1" applyFont="1" applyBorder="1" applyAlignment="1">
      <alignment horizontal="center" vertical="top" wrapText="1"/>
    </xf>
    <xf numFmtId="41" fontId="12" fillId="0" borderId="19" xfId="1" applyNumberFormat="1" applyFont="1" applyFill="1" applyBorder="1" applyAlignment="1">
      <alignment horizontal="center" vertical="top" wrapText="1"/>
    </xf>
    <xf numFmtId="41" fontId="12" fillId="0" borderId="5" xfId="1" applyNumberFormat="1" applyFont="1" applyFill="1" applyBorder="1" applyAlignment="1">
      <alignment horizontal="center" vertical="top" wrapText="1"/>
    </xf>
    <xf numFmtId="43" fontId="12" fillId="0" borderId="19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 wrapText="1"/>
    </xf>
    <xf numFmtId="0" fontId="36" fillId="21" borderId="19" xfId="0" applyFont="1" applyFill="1" applyBorder="1" applyAlignment="1">
      <alignment horizontal="center" wrapText="1"/>
    </xf>
    <xf numFmtId="0" fontId="36" fillId="21" borderId="5" xfId="0" applyFont="1" applyFill="1" applyBorder="1" applyAlignment="1">
      <alignment horizontal="center" wrapText="1"/>
    </xf>
    <xf numFmtId="0" fontId="36" fillId="21" borderId="1" xfId="0" applyFont="1" applyFill="1" applyBorder="1" applyAlignment="1">
      <alignment horizontal="center" vertical="center"/>
    </xf>
    <xf numFmtId="0" fontId="36" fillId="21" borderId="4" xfId="0" applyFont="1" applyFill="1" applyBorder="1" applyAlignment="1">
      <alignment horizontal="center" vertical="center"/>
    </xf>
    <xf numFmtId="0" fontId="36" fillId="21" borderId="3" xfId="0" applyFont="1" applyFill="1" applyBorder="1" applyAlignment="1">
      <alignment horizontal="center" vertical="center"/>
    </xf>
    <xf numFmtId="0" fontId="36" fillId="21" borderId="2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0" xfId="5" applyFont="1" applyAlignment="1">
      <alignment horizontal="center" vertical="center" wrapText="1"/>
    </xf>
    <xf numFmtId="0" fontId="33" fillId="0" borderId="0" xfId="5" applyFont="1" applyAlignment="1">
      <alignment horizontal="center" vertical="center"/>
    </xf>
    <xf numFmtId="0" fontId="14" fillId="22" borderId="1" xfId="5" applyFont="1" applyFill="1" applyBorder="1" applyAlignment="1">
      <alignment horizontal="center" vertical="center" wrapText="1"/>
    </xf>
  </cellXfs>
  <cellStyles count="38">
    <cellStyle name="Comma" xfId="1" builtinId="3"/>
    <cellStyle name="Comma 2" xfId="10"/>
    <cellStyle name="Comma 2 2" xfId="11"/>
    <cellStyle name="Comma 2 3" xfId="3"/>
    <cellStyle name="Comma 3" xfId="4"/>
    <cellStyle name="Comma 3 2" xfId="12"/>
    <cellStyle name="Comma 3 3" xfId="13"/>
    <cellStyle name="Comma 3 3 2" xfId="14"/>
    <cellStyle name="Comma 4" xfId="15"/>
    <cellStyle name="Comma 5" xfId="16"/>
    <cellStyle name="Comma 6" xfId="17"/>
    <cellStyle name="Excel Built-in Normal" xfId="18"/>
    <cellStyle name="Normal" xfId="0" builtinId="0"/>
    <cellStyle name="Normal 2" xfId="5"/>
    <cellStyle name="Normal 3" xfId="6"/>
    <cellStyle name="Normal 3 2" xfId="7"/>
    <cellStyle name="Normal 3 3" xfId="19"/>
    <cellStyle name="Normal 4" xfId="20"/>
    <cellStyle name="Normal 4 2" xfId="21"/>
    <cellStyle name="Normal 4 2 2" xfId="22"/>
    <cellStyle name="Normal 5" xfId="23"/>
    <cellStyle name="เครื่องหมายจุลภาค 2" xfId="8"/>
    <cellStyle name="เครื่องหมายจุลภาค 3" xfId="24"/>
    <cellStyle name="เครื่องหมายจุลภาค 4" xfId="25"/>
    <cellStyle name="เครื่องหมายจุลภาค 4 2" xfId="26"/>
    <cellStyle name="เครื่องหมายจุลภาค 5" xfId="27"/>
    <cellStyle name="เครื่องหมายจุลภาค 5 2" xfId="28"/>
    <cellStyle name="เครื่องหมายจุลภาค 6" xfId="29"/>
    <cellStyle name="ปกติ 2" xfId="9"/>
    <cellStyle name="ปกติ 3" xfId="30"/>
    <cellStyle name="ปกติ 4" xfId="31"/>
    <cellStyle name="ปกติ 5" xfId="32"/>
    <cellStyle name="ปกติ 5 2" xfId="33"/>
    <cellStyle name="ปกติ 6" xfId="34"/>
    <cellStyle name="ปกติ 6 2" xfId="35"/>
    <cellStyle name="ปกติ 7" xfId="2"/>
    <cellStyle name="ปกติ 8" xfId="36"/>
    <cellStyle name="ปกติ 9" xfId="37"/>
  </cellStyles>
  <dxfs count="0"/>
  <tableStyles count="0" defaultTableStyle="TableStyleMedium2" defaultPivotStyle="PivotStyleLight16"/>
  <colors>
    <mruColors>
      <color rgb="FFACEDF4"/>
      <color rgb="FFB7DEE8"/>
      <color rgb="FFFFD5FF"/>
      <color rgb="FFFFCCFF"/>
      <color rgb="FF0099FF"/>
      <color rgb="FFFFFF99"/>
      <color rgb="FFFF99CC"/>
      <color rgb="FFFFFFCC"/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Layout" workbookViewId="0">
      <selection activeCell="C8" sqref="C8"/>
    </sheetView>
  </sheetViews>
  <sheetFormatPr defaultRowHeight="21" x14ac:dyDescent="0.35"/>
  <cols>
    <col min="1" max="1" width="21.875" style="220" customWidth="1"/>
    <col min="2" max="2" width="20.625" style="221" customWidth="1"/>
    <col min="3" max="4" width="19.875" style="221" customWidth="1"/>
    <col min="5" max="16384" width="9" style="220"/>
  </cols>
  <sheetData>
    <row r="1" spans="1:4" s="213" customFormat="1" ht="30" customHeight="1" x14ac:dyDescent="0.2">
      <c r="A1" s="457" t="s">
        <v>185</v>
      </c>
      <c r="B1" s="457"/>
      <c r="C1" s="457"/>
      <c r="D1" s="457"/>
    </row>
    <row r="2" spans="1:4" s="215" customFormat="1" ht="12" customHeight="1" x14ac:dyDescent="0.2">
      <c r="A2" s="214"/>
      <c r="B2" s="214"/>
      <c r="C2" s="214"/>
      <c r="D2" s="214"/>
    </row>
    <row r="3" spans="1:4" s="216" customFormat="1" ht="30" customHeight="1" x14ac:dyDescent="0.2">
      <c r="A3" s="222" t="s">
        <v>180</v>
      </c>
      <c r="B3" s="223" t="s">
        <v>60</v>
      </c>
      <c r="C3" s="223" t="s">
        <v>61</v>
      </c>
      <c r="D3" s="223" t="s">
        <v>181</v>
      </c>
    </row>
    <row r="4" spans="1:4" s="213" customFormat="1" ht="30" customHeight="1" x14ac:dyDescent="0.2">
      <c r="A4" s="217" t="s">
        <v>182</v>
      </c>
      <c r="B4" s="218">
        <f>'งบจังหวัด 2562'!F122</f>
        <v>160273400</v>
      </c>
      <c r="C4" s="218">
        <f>'งบจังหวัด 2562'!E122</f>
        <v>34732700</v>
      </c>
      <c r="D4" s="218">
        <f>B4+C4</f>
        <v>195006100</v>
      </c>
    </row>
    <row r="5" spans="1:4" s="213" customFormat="1" ht="30" customHeight="1" x14ac:dyDescent="0.2">
      <c r="A5" s="217" t="s">
        <v>183</v>
      </c>
      <c r="B5" s="218">
        <f>'งบกลุ่ม 2562'!D6</f>
        <v>70979000</v>
      </c>
      <c r="C5" s="218">
        <v>0</v>
      </c>
      <c r="D5" s="218">
        <f t="shared" ref="D5" si="0">B5+C5</f>
        <v>70979000</v>
      </c>
    </row>
    <row r="6" spans="1:4" s="219" customFormat="1" ht="30" customHeight="1" x14ac:dyDescent="0.2">
      <c r="A6" s="224" t="s">
        <v>184</v>
      </c>
      <c r="B6" s="225">
        <f>B4+B5</f>
        <v>231252400</v>
      </c>
      <c r="C6" s="225">
        <f>C4+C5</f>
        <v>34732700</v>
      </c>
      <c r="D6" s="225">
        <f>D4+D5</f>
        <v>265985100</v>
      </c>
    </row>
    <row r="7" spans="1:4" ht="30" customHeight="1" x14ac:dyDescent="0.35"/>
    <row r="8" spans="1:4" ht="30" customHeight="1" x14ac:dyDescent="0.35"/>
    <row r="9" spans="1:4" ht="30" customHeight="1" x14ac:dyDescent="0.35"/>
    <row r="10" spans="1:4" ht="30" customHeight="1" x14ac:dyDescent="0.35"/>
    <row r="11" spans="1:4" ht="30" customHeight="1" x14ac:dyDescent="0.35"/>
    <row r="12" spans="1:4" ht="30" customHeight="1" x14ac:dyDescent="0.35"/>
    <row r="13" spans="1:4" ht="30" customHeight="1" x14ac:dyDescent="0.35"/>
    <row r="14" spans="1:4" ht="30" customHeight="1" x14ac:dyDescent="0.35"/>
    <row r="15" spans="1:4" ht="30" customHeight="1" x14ac:dyDescent="0.35"/>
    <row r="16" spans="1:4" ht="30" customHeight="1" x14ac:dyDescent="0.35"/>
    <row r="17" ht="30" customHeight="1" x14ac:dyDescent="0.35"/>
    <row r="18" ht="30" customHeight="1" x14ac:dyDescent="0.35"/>
    <row r="19" ht="30" customHeight="1" x14ac:dyDescent="0.35"/>
    <row r="20" ht="30" customHeight="1" x14ac:dyDescent="0.35"/>
    <row r="21" ht="30" customHeight="1" x14ac:dyDescent="0.35"/>
    <row r="22" ht="30" customHeight="1" x14ac:dyDescent="0.35"/>
  </sheetData>
  <mergeCells count="1">
    <mergeCell ref="A1:D1"/>
  </mergeCells>
  <pageMargins left="0.7" right="0.4687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97" zoomScaleSheetLayoutView="100" zoomScalePageLayoutView="90" workbookViewId="0">
      <selection activeCell="A11" sqref="A11:C11"/>
    </sheetView>
  </sheetViews>
  <sheetFormatPr defaultRowHeight="21" x14ac:dyDescent="0.35"/>
  <cols>
    <col min="1" max="1" width="2.875" style="139" bestFit="1" customWidth="1"/>
    <col min="2" max="2" width="47.25" style="1" customWidth="1"/>
    <col min="3" max="3" width="12.125" style="1" bestFit="1" customWidth="1"/>
    <col min="4" max="4" width="12.25" style="17" bestFit="1" customWidth="1"/>
    <col min="5" max="5" width="11.125" style="134" bestFit="1" customWidth="1"/>
    <col min="6" max="6" width="12.25" style="17" bestFit="1" customWidth="1"/>
    <col min="7" max="7" width="18.625" style="135" customWidth="1"/>
    <col min="8" max="8" width="14.5" style="17" hidden="1" customWidth="1"/>
    <col min="9" max="9" width="15.25" style="17" hidden="1" customWidth="1"/>
    <col min="10" max="16384" width="9" style="18"/>
  </cols>
  <sheetData>
    <row r="1" spans="1:9" ht="21" customHeight="1" x14ac:dyDescent="0.35">
      <c r="A1" s="536" t="s">
        <v>65</v>
      </c>
      <c r="B1" s="536"/>
      <c r="C1" s="536"/>
      <c r="D1" s="536"/>
      <c r="E1" s="536"/>
      <c r="F1" s="536"/>
      <c r="G1" s="536"/>
      <c r="H1" s="16"/>
    </row>
    <row r="2" spans="1:9" ht="21" customHeight="1" x14ac:dyDescent="0.35">
      <c r="A2" s="198"/>
      <c r="C2" s="140" t="s">
        <v>60</v>
      </c>
      <c r="D2" s="141">
        <f>F10</f>
        <v>160273400</v>
      </c>
      <c r="E2" s="142" t="s">
        <v>118</v>
      </c>
      <c r="F2" s="198"/>
      <c r="G2" s="198"/>
      <c r="H2" s="16"/>
    </row>
    <row r="3" spans="1:9" ht="21" customHeight="1" x14ac:dyDescent="0.35">
      <c r="A3" s="198"/>
      <c r="C3" s="143" t="s">
        <v>61</v>
      </c>
      <c r="D3" s="144">
        <f>E10</f>
        <v>26732700</v>
      </c>
      <c r="E3" s="145" t="s">
        <v>118</v>
      </c>
      <c r="F3" s="198"/>
      <c r="G3" s="198"/>
      <c r="H3" s="16"/>
    </row>
    <row r="4" spans="1:9" ht="21" customHeight="1" x14ac:dyDescent="0.35">
      <c r="A4" s="198"/>
      <c r="B4" s="552" t="s">
        <v>1</v>
      </c>
      <c r="C4" s="552"/>
      <c r="D4" s="146">
        <f>E111</f>
        <v>8000000</v>
      </c>
      <c r="E4" s="147" t="s">
        <v>118</v>
      </c>
      <c r="F4" s="198"/>
      <c r="G4" s="198"/>
      <c r="H4" s="16"/>
    </row>
    <row r="5" spans="1:9" x14ac:dyDescent="0.35">
      <c r="A5" s="198"/>
      <c r="B5" s="465" t="s">
        <v>117</v>
      </c>
      <c r="C5" s="465"/>
      <c r="D5" s="148">
        <f>SUM(D2:D4)</f>
        <v>195006100</v>
      </c>
      <c r="E5" s="198" t="s">
        <v>118</v>
      </c>
      <c r="F5" s="198"/>
      <c r="G5" s="198"/>
      <c r="H5" s="16"/>
    </row>
    <row r="6" spans="1:9" ht="21" customHeight="1" x14ac:dyDescent="0.35">
      <c r="A6" s="464" t="s">
        <v>119</v>
      </c>
      <c r="B6" s="464"/>
      <c r="C6" s="464"/>
      <c r="D6" s="464"/>
      <c r="E6" s="464"/>
      <c r="F6" s="464"/>
      <c r="G6" s="464"/>
      <c r="H6" s="464"/>
      <c r="I6" s="464"/>
    </row>
    <row r="7" spans="1:9" x14ac:dyDescent="0.35">
      <c r="A7" s="537" t="s">
        <v>64</v>
      </c>
      <c r="B7" s="538"/>
      <c r="C7" s="539"/>
      <c r="D7" s="546" t="s">
        <v>63</v>
      </c>
      <c r="E7" s="547"/>
      <c r="F7" s="548"/>
      <c r="G7" s="461" t="s">
        <v>69</v>
      </c>
      <c r="H7" s="461" t="s">
        <v>69</v>
      </c>
      <c r="I7" s="461" t="s">
        <v>69</v>
      </c>
    </row>
    <row r="8" spans="1:9" x14ac:dyDescent="0.35">
      <c r="A8" s="540"/>
      <c r="B8" s="541"/>
      <c r="C8" s="542"/>
      <c r="D8" s="549"/>
      <c r="E8" s="550"/>
      <c r="F8" s="551"/>
      <c r="G8" s="462"/>
      <c r="H8" s="462"/>
      <c r="I8" s="462"/>
    </row>
    <row r="9" spans="1:9" ht="27" customHeight="1" x14ac:dyDescent="0.35">
      <c r="A9" s="543"/>
      <c r="B9" s="544"/>
      <c r="C9" s="545"/>
      <c r="D9" s="19" t="s">
        <v>62</v>
      </c>
      <c r="E9" s="20" t="s">
        <v>61</v>
      </c>
      <c r="F9" s="19" t="s">
        <v>60</v>
      </c>
      <c r="G9" s="463"/>
      <c r="H9" s="463"/>
      <c r="I9" s="463"/>
    </row>
    <row r="10" spans="1:9" s="26" customFormat="1" ht="26.25" customHeight="1" x14ac:dyDescent="0.35">
      <c r="A10" s="458" t="s">
        <v>0</v>
      </c>
      <c r="B10" s="459"/>
      <c r="C10" s="460"/>
      <c r="D10" s="21">
        <f>D11+D55+D90</f>
        <v>187006100</v>
      </c>
      <c r="E10" s="22">
        <f>E11+E55+E90</f>
        <v>26732700</v>
      </c>
      <c r="F10" s="21">
        <f>F11+F55+F90</f>
        <v>160273400</v>
      </c>
      <c r="G10" s="23"/>
      <c r="H10" s="23"/>
      <c r="I10" s="23"/>
    </row>
    <row r="11" spans="1:9" s="30" customFormat="1" x14ac:dyDescent="0.2">
      <c r="A11" s="528" t="s">
        <v>59</v>
      </c>
      <c r="B11" s="529"/>
      <c r="C11" s="530"/>
      <c r="D11" s="136">
        <f>D13+D19+D21+D41+D51</f>
        <v>140234800</v>
      </c>
      <c r="E11" s="27">
        <f>E13+E19+E21+E41+E51</f>
        <v>5774400</v>
      </c>
      <c r="F11" s="27">
        <f>F13+F19+F21+F41+F51</f>
        <v>134460400</v>
      </c>
      <c r="G11" s="28"/>
      <c r="H11" s="28"/>
      <c r="I11" s="28"/>
    </row>
    <row r="12" spans="1:9" s="26" customFormat="1" x14ac:dyDescent="0.35">
      <c r="A12" s="531" t="s">
        <v>70</v>
      </c>
      <c r="B12" s="532"/>
      <c r="C12" s="533"/>
      <c r="D12" s="149"/>
      <c r="E12" s="31"/>
      <c r="F12" s="32"/>
      <c r="G12" s="33"/>
      <c r="H12" s="33"/>
      <c r="I12" s="33"/>
    </row>
    <row r="13" spans="1:9" s="26" customFormat="1" x14ac:dyDescent="0.35">
      <c r="A13" s="151"/>
      <c r="B13" s="515" t="s">
        <v>58</v>
      </c>
      <c r="C13" s="516"/>
      <c r="D13" s="137">
        <f>SUM(D14:D18)</f>
        <v>2164000</v>
      </c>
      <c r="E13" s="31">
        <f>SUM(E14:E18)</f>
        <v>2164000</v>
      </c>
      <c r="F13" s="32">
        <f>SUM(F14:F18)</f>
        <v>0</v>
      </c>
      <c r="G13" s="35"/>
      <c r="H13" s="35"/>
      <c r="I13" s="35"/>
    </row>
    <row r="14" spans="1:9" s="41" customFormat="1" x14ac:dyDescent="0.2">
      <c r="A14" s="36">
        <v>1</v>
      </c>
      <c r="B14" s="534" t="s">
        <v>71</v>
      </c>
      <c r="C14" s="535"/>
      <c r="D14" s="37">
        <f t="shared" ref="D14:D18" si="0">E14+F14</f>
        <v>509000</v>
      </c>
      <c r="E14" s="37">
        <v>509000</v>
      </c>
      <c r="F14" s="37">
        <v>0</v>
      </c>
      <c r="G14" s="38" t="s">
        <v>66</v>
      </c>
      <c r="H14" s="38" t="s">
        <v>66</v>
      </c>
      <c r="I14" s="38" t="s">
        <v>66</v>
      </c>
    </row>
    <row r="15" spans="1:9" s="45" customFormat="1" ht="21" customHeight="1" x14ac:dyDescent="0.2">
      <c r="A15" s="36">
        <v>2</v>
      </c>
      <c r="B15" s="477" t="s">
        <v>72</v>
      </c>
      <c r="C15" s="478"/>
      <c r="D15" s="37">
        <f t="shared" si="0"/>
        <v>629000</v>
      </c>
      <c r="E15" s="42">
        <v>629000</v>
      </c>
      <c r="F15" s="42">
        <v>0</v>
      </c>
      <c r="G15" s="43" t="s">
        <v>57</v>
      </c>
      <c r="H15" s="43" t="s">
        <v>57</v>
      </c>
      <c r="I15" s="43" t="s">
        <v>57</v>
      </c>
    </row>
    <row r="16" spans="1:9" s="45" customFormat="1" ht="21" customHeight="1" x14ac:dyDescent="0.2">
      <c r="A16" s="36">
        <v>3</v>
      </c>
      <c r="B16" s="477" t="s">
        <v>56</v>
      </c>
      <c r="C16" s="478"/>
      <c r="D16" s="37">
        <f t="shared" si="0"/>
        <v>481000</v>
      </c>
      <c r="E16" s="42">
        <v>481000</v>
      </c>
      <c r="F16" s="42">
        <v>0</v>
      </c>
      <c r="G16" s="43" t="s">
        <v>73</v>
      </c>
      <c r="H16" s="43" t="s">
        <v>73</v>
      </c>
      <c r="I16" s="43" t="s">
        <v>73</v>
      </c>
    </row>
    <row r="17" spans="1:9" s="41" customFormat="1" ht="21" customHeight="1" x14ac:dyDescent="0.2">
      <c r="A17" s="36">
        <v>4</v>
      </c>
      <c r="B17" s="477" t="s">
        <v>74</v>
      </c>
      <c r="C17" s="478"/>
      <c r="D17" s="37">
        <f t="shared" si="0"/>
        <v>440000</v>
      </c>
      <c r="E17" s="37">
        <v>440000</v>
      </c>
      <c r="F17" s="37">
        <v>0</v>
      </c>
      <c r="G17" s="38" t="s">
        <v>75</v>
      </c>
      <c r="H17" s="38" t="s">
        <v>75</v>
      </c>
      <c r="I17" s="38" t="s">
        <v>75</v>
      </c>
    </row>
    <row r="18" spans="1:9" s="41" customFormat="1" ht="31.5" customHeight="1" x14ac:dyDescent="0.2">
      <c r="A18" s="36">
        <v>5</v>
      </c>
      <c r="B18" s="477" t="s">
        <v>76</v>
      </c>
      <c r="C18" s="478"/>
      <c r="D18" s="37">
        <f t="shared" si="0"/>
        <v>105000</v>
      </c>
      <c r="E18" s="42">
        <v>105000</v>
      </c>
      <c r="F18" s="42">
        <v>0</v>
      </c>
      <c r="G18" s="43" t="s">
        <v>77</v>
      </c>
      <c r="H18" s="43" t="s">
        <v>77</v>
      </c>
      <c r="I18" s="43" t="s">
        <v>77</v>
      </c>
    </row>
    <row r="19" spans="1:9" s="51" customFormat="1" x14ac:dyDescent="0.2">
      <c r="A19" s="150"/>
      <c r="B19" s="515" t="s">
        <v>55</v>
      </c>
      <c r="C19" s="516"/>
      <c r="D19" s="46">
        <f>SUM(D20)</f>
        <v>2412000</v>
      </c>
      <c r="E19" s="47">
        <f>E20</f>
        <v>2412000</v>
      </c>
      <c r="F19" s="48">
        <f>F20</f>
        <v>0</v>
      </c>
      <c r="G19" s="49"/>
      <c r="H19" s="49"/>
      <c r="I19" s="49"/>
    </row>
    <row r="20" spans="1:9" s="56" customFormat="1" x14ac:dyDescent="0.2">
      <c r="A20" s="52">
        <v>1</v>
      </c>
      <c r="B20" s="526" t="s">
        <v>54</v>
      </c>
      <c r="C20" s="527"/>
      <c r="D20" s="53">
        <f>E20+F20</f>
        <v>2412000</v>
      </c>
      <c r="E20" s="37">
        <v>2412000</v>
      </c>
      <c r="F20" s="53">
        <v>0</v>
      </c>
      <c r="G20" s="54" t="s">
        <v>78</v>
      </c>
      <c r="H20" s="54" t="s">
        <v>78</v>
      </c>
      <c r="I20" s="54" t="s">
        <v>78</v>
      </c>
    </row>
    <row r="21" spans="1:9" s="62" customFormat="1" x14ac:dyDescent="0.2">
      <c r="A21" s="57"/>
      <c r="B21" s="515" t="s">
        <v>53</v>
      </c>
      <c r="C21" s="516"/>
      <c r="D21" s="58">
        <f>SUM(D22:D40)</f>
        <v>97215400</v>
      </c>
      <c r="E21" s="59">
        <f>SUM(E22:E40)</f>
        <v>0</v>
      </c>
      <c r="F21" s="58">
        <f>SUM(F22:F40)</f>
        <v>97215400</v>
      </c>
      <c r="G21" s="60"/>
      <c r="H21" s="60"/>
      <c r="I21" s="60"/>
    </row>
    <row r="22" spans="1:9" s="56" customFormat="1" ht="42" customHeight="1" x14ac:dyDescent="0.2">
      <c r="A22" s="63">
        <v>1</v>
      </c>
      <c r="B22" s="495" t="s">
        <v>79</v>
      </c>
      <c r="C22" s="496"/>
      <c r="D22" s="64">
        <v>2316000</v>
      </c>
      <c r="E22" s="65">
        <v>0</v>
      </c>
      <c r="F22" s="64">
        <f>D22</f>
        <v>2316000</v>
      </c>
      <c r="G22" s="66" t="s">
        <v>159</v>
      </c>
      <c r="H22" s="66" t="s">
        <v>159</v>
      </c>
      <c r="I22" s="66" t="s">
        <v>159</v>
      </c>
    </row>
    <row r="23" spans="1:9" s="56" customFormat="1" ht="42" customHeight="1" x14ac:dyDescent="0.2">
      <c r="A23" s="67">
        <v>2</v>
      </c>
      <c r="B23" s="495" t="s">
        <v>116</v>
      </c>
      <c r="C23" s="496"/>
      <c r="D23" s="64">
        <f>E23+F23</f>
        <v>2640000</v>
      </c>
      <c r="E23" s="65">
        <v>0</v>
      </c>
      <c r="F23" s="64">
        <v>2640000</v>
      </c>
      <c r="G23" s="66" t="s">
        <v>80</v>
      </c>
      <c r="H23" s="66" t="s">
        <v>80</v>
      </c>
      <c r="I23" s="66" t="s">
        <v>80</v>
      </c>
    </row>
    <row r="24" spans="1:9" s="56" customFormat="1" ht="42" customHeight="1" x14ac:dyDescent="0.2">
      <c r="A24" s="63">
        <v>3</v>
      </c>
      <c r="B24" s="495" t="s">
        <v>67</v>
      </c>
      <c r="C24" s="496"/>
      <c r="D24" s="64">
        <f>E24+F24</f>
        <v>2500000</v>
      </c>
      <c r="E24" s="65">
        <v>0</v>
      </c>
      <c r="F24" s="64">
        <v>2500000</v>
      </c>
      <c r="G24" s="66" t="s">
        <v>80</v>
      </c>
      <c r="H24" s="66" t="s">
        <v>80</v>
      </c>
      <c r="I24" s="66" t="s">
        <v>80</v>
      </c>
    </row>
    <row r="25" spans="1:9" s="45" customFormat="1" ht="42" customHeight="1" x14ac:dyDescent="0.2">
      <c r="A25" s="36">
        <v>4</v>
      </c>
      <c r="B25" s="477" t="s">
        <v>139</v>
      </c>
      <c r="C25" s="478"/>
      <c r="D25" s="65">
        <v>14000000</v>
      </c>
      <c r="E25" s="65">
        <v>0</v>
      </c>
      <c r="F25" s="65">
        <f>D25</f>
        <v>14000000</v>
      </c>
      <c r="G25" s="199" t="s">
        <v>165</v>
      </c>
      <c r="H25" s="199" t="s">
        <v>165</v>
      </c>
      <c r="I25" s="199" t="s">
        <v>165</v>
      </c>
    </row>
    <row r="26" spans="1:9" s="45" customFormat="1" ht="63" customHeight="1" x14ac:dyDescent="0.2">
      <c r="A26" s="200">
        <v>5</v>
      </c>
      <c r="B26" s="477" t="s">
        <v>81</v>
      </c>
      <c r="C26" s="478"/>
      <c r="D26" s="65">
        <f>E26+F26</f>
        <v>2400000</v>
      </c>
      <c r="E26" s="65">
        <v>0</v>
      </c>
      <c r="F26" s="65">
        <v>2400000</v>
      </c>
      <c r="G26" s="199" t="s">
        <v>165</v>
      </c>
      <c r="H26" s="199" t="s">
        <v>165</v>
      </c>
      <c r="I26" s="199" t="s">
        <v>165</v>
      </c>
    </row>
    <row r="27" spans="1:9" s="45" customFormat="1" ht="42" customHeight="1" x14ac:dyDescent="0.2">
      <c r="A27" s="36">
        <v>6</v>
      </c>
      <c r="B27" s="524" t="s">
        <v>82</v>
      </c>
      <c r="C27" s="525"/>
      <c r="D27" s="65">
        <f>E27+F27</f>
        <v>1850000</v>
      </c>
      <c r="E27" s="65">
        <v>0</v>
      </c>
      <c r="F27" s="65">
        <v>1850000</v>
      </c>
      <c r="G27" s="201" t="s">
        <v>83</v>
      </c>
      <c r="H27" s="201" t="s">
        <v>83</v>
      </c>
      <c r="I27" s="201" t="s">
        <v>83</v>
      </c>
    </row>
    <row r="28" spans="1:9" s="45" customFormat="1" ht="42" customHeight="1" x14ac:dyDescent="0.2">
      <c r="A28" s="200">
        <v>7</v>
      </c>
      <c r="B28" s="524" t="s">
        <v>68</v>
      </c>
      <c r="C28" s="525"/>
      <c r="D28" s="65">
        <v>992000</v>
      </c>
      <c r="E28" s="65">
        <v>0</v>
      </c>
      <c r="F28" s="65">
        <f>D28</f>
        <v>992000</v>
      </c>
      <c r="G28" s="201" t="s">
        <v>158</v>
      </c>
      <c r="H28" s="201" t="s">
        <v>84</v>
      </c>
      <c r="I28" s="201" t="s">
        <v>84</v>
      </c>
    </row>
    <row r="29" spans="1:9" s="45" customFormat="1" ht="42.75" customHeight="1" x14ac:dyDescent="0.2">
      <c r="A29" s="36">
        <v>8</v>
      </c>
      <c r="B29" s="524" t="s">
        <v>85</v>
      </c>
      <c r="C29" s="525"/>
      <c r="D29" s="65">
        <f>E29+F29</f>
        <v>34625600</v>
      </c>
      <c r="E29" s="65">
        <v>0</v>
      </c>
      <c r="F29" s="65">
        <v>34625600</v>
      </c>
      <c r="G29" s="201" t="s">
        <v>158</v>
      </c>
      <c r="H29" s="201" t="s">
        <v>158</v>
      </c>
      <c r="I29" s="201" t="s">
        <v>158</v>
      </c>
    </row>
    <row r="30" spans="1:9" s="45" customFormat="1" ht="42" customHeight="1" x14ac:dyDescent="0.2">
      <c r="A30" s="200">
        <v>9</v>
      </c>
      <c r="B30" s="524" t="s">
        <v>134</v>
      </c>
      <c r="C30" s="525"/>
      <c r="D30" s="65">
        <f>E30+F30</f>
        <v>2054900</v>
      </c>
      <c r="E30" s="65">
        <v>0</v>
      </c>
      <c r="F30" s="65">
        <v>2054900</v>
      </c>
      <c r="G30" s="199" t="s">
        <v>164</v>
      </c>
      <c r="H30" s="199" t="s">
        <v>164</v>
      </c>
      <c r="I30" s="199" t="s">
        <v>164</v>
      </c>
    </row>
    <row r="31" spans="1:9" s="45" customFormat="1" ht="42" customHeight="1" x14ac:dyDescent="0.2">
      <c r="A31" s="36">
        <v>10</v>
      </c>
      <c r="B31" s="524" t="s">
        <v>133</v>
      </c>
      <c r="C31" s="525"/>
      <c r="D31" s="74">
        <v>2116700</v>
      </c>
      <c r="E31" s="65">
        <v>0</v>
      </c>
      <c r="F31" s="74">
        <f>D31</f>
        <v>2116700</v>
      </c>
      <c r="G31" s="199" t="s">
        <v>164</v>
      </c>
      <c r="H31" s="199" t="s">
        <v>164</v>
      </c>
      <c r="I31" s="199" t="s">
        <v>164</v>
      </c>
    </row>
    <row r="32" spans="1:9" s="45" customFormat="1" ht="42" customHeight="1" x14ac:dyDescent="0.2">
      <c r="A32" s="200">
        <v>11</v>
      </c>
      <c r="B32" s="524" t="s">
        <v>86</v>
      </c>
      <c r="C32" s="525"/>
      <c r="D32" s="65">
        <f>E32+F32</f>
        <v>1200000</v>
      </c>
      <c r="E32" s="65">
        <v>0</v>
      </c>
      <c r="F32" s="65">
        <v>1200000</v>
      </c>
      <c r="G32" s="199" t="s">
        <v>164</v>
      </c>
      <c r="H32" s="199" t="s">
        <v>164</v>
      </c>
      <c r="I32" s="199" t="s">
        <v>164</v>
      </c>
    </row>
    <row r="33" spans="1:9" s="45" customFormat="1" ht="42" customHeight="1" x14ac:dyDescent="0.2">
      <c r="A33" s="36">
        <v>12</v>
      </c>
      <c r="B33" s="524" t="s">
        <v>132</v>
      </c>
      <c r="C33" s="525"/>
      <c r="D33" s="65">
        <v>2800000</v>
      </c>
      <c r="E33" s="65">
        <v>0</v>
      </c>
      <c r="F33" s="65">
        <f t="shared" ref="F33:F40" si="1">D33</f>
        <v>2800000</v>
      </c>
      <c r="G33" s="201" t="s">
        <v>164</v>
      </c>
      <c r="H33" s="201" t="s">
        <v>164</v>
      </c>
      <c r="I33" s="201" t="s">
        <v>164</v>
      </c>
    </row>
    <row r="34" spans="1:9" s="45" customFormat="1" ht="42" customHeight="1" x14ac:dyDescent="0.2">
      <c r="A34" s="200">
        <v>13</v>
      </c>
      <c r="B34" s="524" t="s">
        <v>166</v>
      </c>
      <c r="C34" s="525"/>
      <c r="D34" s="74">
        <v>2782000</v>
      </c>
      <c r="E34" s="65">
        <v>0</v>
      </c>
      <c r="F34" s="74">
        <f t="shared" si="1"/>
        <v>2782000</v>
      </c>
      <c r="G34" s="43" t="s">
        <v>87</v>
      </c>
      <c r="H34" s="43" t="s">
        <v>87</v>
      </c>
      <c r="I34" s="43" t="s">
        <v>87</v>
      </c>
    </row>
    <row r="35" spans="1:9" s="45" customFormat="1" ht="42" customHeight="1" x14ac:dyDescent="0.2">
      <c r="A35" s="36">
        <v>14</v>
      </c>
      <c r="B35" s="524" t="s">
        <v>135</v>
      </c>
      <c r="C35" s="525"/>
      <c r="D35" s="74">
        <v>1365000</v>
      </c>
      <c r="E35" s="65">
        <v>0</v>
      </c>
      <c r="F35" s="74">
        <f t="shared" si="1"/>
        <v>1365000</v>
      </c>
      <c r="G35" s="43" t="s">
        <v>87</v>
      </c>
      <c r="H35" s="43" t="s">
        <v>87</v>
      </c>
      <c r="I35" s="43" t="s">
        <v>87</v>
      </c>
    </row>
    <row r="36" spans="1:9" s="45" customFormat="1" ht="42" customHeight="1" x14ac:dyDescent="0.2">
      <c r="A36" s="200">
        <v>15</v>
      </c>
      <c r="B36" s="477" t="s">
        <v>136</v>
      </c>
      <c r="C36" s="478"/>
      <c r="D36" s="74">
        <v>7328000</v>
      </c>
      <c r="E36" s="65">
        <v>0</v>
      </c>
      <c r="F36" s="74">
        <f t="shared" si="1"/>
        <v>7328000</v>
      </c>
      <c r="G36" s="199" t="s">
        <v>162</v>
      </c>
      <c r="H36" s="199" t="s">
        <v>162</v>
      </c>
      <c r="I36" s="199" t="s">
        <v>162</v>
      </c>
    </row>
    <row r="37" spans="1:9" s="45" customFormat="1" ht="42" customHeight="1" x14ac:dyDescent="0.2">
      <c r="A37" s="36">
        <v>16</v>
      </c>
      <c r="B37" s="477" t="s">
        <v>137</v>
      </c>
      <c r="C37" s="478"/>
      <c r="D37" s="74">
        <v>9984000</v>
      </c>
      <c r="E37" s="65">
        <v>0</v>
      </c>
      <c r="F37" s="74">
        <f t="shared" si="1"/>
        <v>9984000</v>
      </c>
      <c r="G37" s="199" t="s">
        <v>162</v>
      </c>
      <c r="H37" s="199" t="s">
        <v>162</v>
      </c>
      <c r="I37" s="199" t="s">
        <v>162</v>
      </c>
    </row>
    <row r="38" spans="1:9" s="45" customFormat="1" ht="63" customHeight="1" x14ac:dyDescent="0.2">
      <c r="A38" s="200">
        <v>17</v>
      </c>
      <c r="B38" s="524" t="s">
        <v>163</v>
      </c>
      <c r="C38" s="525"/>
      <c r="D38" s="74">
        <v>1482700</v>
      </c>
      <c r="E38" s="65">
        <v>0</v>
      </c>
      <c r="F38" s="74">
        <f t="shared" si="1"/>
        <v>1482700</v>
      </c>
      <c r="G38" s="199" t="s">
        <v>161</v>
      </c>
      <c r="H38" s="199" t="s">
        <v>161</v>
      </c>
      <c r="I38" s="199" t="s">
        <v>161</v>
      </c>
    </row>
    <row r="39" spans="1:9" s="45" customFormat="1" ht="63" customHeight="1" x14ac:dyDescent="0.2">
      <c r="A39" s="36">
        <v>18</v>
      </c>
      <c r="B39" s="477" t="s">
        <v>138</v>
      </c>
      <c r="C39" s="478"/>
      <c r="D39" s="74">
        <v>3378500</v>
      </c>
      <c r="E39" s="65">
        <v>0</v>
      </c>
      <c r="F39" s="74">
        <f t="shared" si="1"/>
        <v>3378500</v>
      </c>
      <c r="G39" s="199" t="s">
        <v>160</v>
      </c>
      <c r="H39" s="199" t="s">
        <v>160</v>
      </c>
      <c r="I39" s="199" t="s">
        <v>160</v>
      </c>
    </row>
    <row r="40" spans="1:9" s="45" customFormat="1" ht="42" customHeight="1" x14ac:dyDescent="0.2">
      <c r="A40" s="202">
        <v>19</v>
      </c>
      <c r="B40" s="513" t="s">
        <v>88</v>
      </c>
      <c r="C40" s="514"/>
      <c r="D40" s="65">
        <v>1400000</v>
      </c>
      <c r="E40" s="65">
        <v>0</v>
      </c>
      <c r="F40" s="65">
        <f t="shared" si="1"/>
        <v>1400000</v>
      </c>
      <c r="G40" s="203" t="s">
        <v>52</v>
      </c>
      <c r="H40" s="203" t="s">
        <v>52</v>
      </c>
      <c r="I40" s="203" t="s">
        <v>52</v>
      </c>
    </row>
    <row r="41" spans="1:9" s="62" customFormat="1" x14ac:dyDescent="0.2">
      <c r="A41" s="57"/>
      <c r="B41" s="515" t="s">
        <v>89</v>
      </c>
      <c r="C41" s="516"/>
      <c r="D41" s="72">
        <f>SUM(D42:D50)-D44-D45</f>
        <v>37245000</v>
      </c>
      <c r="E41" s="72">
        <f t="shared" ref="E41:F41" si="2">SUM(E42:E50)-E44-E45</f>
        <v>0</v>
      </c>
      <c r="F41" s="72">
        <f t="shared" si="2"/>
        <v>37245000</v>
      </c>
      <c r="G41" s="73"/>
      <c r="H41" s="73"/>
      <c r="I41" s="73"/>
    </row>
    <row r="42" spans="1:9" s="56" customFormat="1" ht="42" customHeight="1" x14ac:dyDescent="0.2">
      <c r="A42" s="4">
        <v>1</v>
      </c>
      <c r="B42" s="510" t="s">
        <v>90</v>
      </c>
      <c r="C42" s="517"/>
      <c r="D42" s="69">
        <v>6579000</v>
      </c>
      <c r="E42" s="74">
        <v>0</v>
      </c>
      <c r="F42" s="69">
        <f>D42</f>
        <v>6579000</v>
      </c>
      <c r="G42" s="66" t="s">
        <v>91</v>
      </c>
      <c r="H42" s="66" t="s">
        <v>91</v>
      </c>
      <c r="I42" s="66" t="s">
        <v>91</v>
      </c>
    </row>
    <row r="43" spans="1:9" s="56" customFormat="1" ht="43.5" customHeight="1" x14ac:dyDescent="0.2">
      <c r="A43" s="14">
        <v>2</v>
      </c>
      <c r="B43" s="518" t="s">
        <v>169</v>
      </c>
      <c r="C43" s="519"/>
      <c r="D43" s="153">
        <f>E43+F43</f>
        <v>5256000</v>
      </c>
      <c r="E43" s="156">
        <v>0</v>
      </c>
      <c r="F43" s="154">
        <f>F44+F45</f>
        <v>5256000</v>
      </c>
      <c r="G43" s="155" t="s">
        <v>159</v>
      </c>
      <c r="H43" s="155" t="s">
        <v>159</v>
      </c>
      <c r="I43" s="155" t="s">
        <v>159</v>
      </c>
    </row>
    <row r="44" spans="1:9" s="56" customFormat="1" ht="35.25" customHeight="1" x14ac:dyDescent="0.2">
      <c r="A44" s="158"/>
      <c r="B44" s="520" t="s">
        <v>130</v>
      </c>
      <c r="C44" s="521"/>
      <c r="D44" s="159">
        <f>E44+F44</f>
        <v>4776000</v>
      </c>
      <c r="E44" s="160">
        <v>0</v>
      </c>
      <c r="F44" s="161">
        <f>1592000*3</f>
        <v>4776000</v>
      </c>
      <c r="G44" s="162"/>
      <c r="H44" s="162"/>
      <c r="I44" s="162"/>
    </row>
    <row r="45" spans="1:9" s="56" customFormat="1" x14ac:dyDescent="0.2">
      <c r="A45" s="157"/>
      <c r="B45" s="522" t="s">
        <v>129</v>
      </c>
      <c r="C45" s="523"/>
      <c r="D45" s="163">
        <f>E45+F45</f>
        <v>480000</v>
      </c>
      <c r="E45" s="164">
        <v>0</v>
      </c>
      <c r="F45" s="165">
        <v>480000</v>
      </c>
      <c r="G45" s="54"/>
      <c r="H45" s="54"/>
      <c r="I45" s="54"/>
    </row>
    <row r="46" spans="1:9" s="56" customFormat="1" ht="43.5" customHeight="1" x14ac:dyDescent="0.2">
      <c r="A46" s="4">
        <v>3</v>
      </c>
      <c r="B46" s="510" t="s">
        <v>128</v>
      </c>
      <c r="C46" s="496"/>
      <c r="D46" s="69">
        <v>1350000</v>
      </c>
      <c r="E46" s="74">
        <v>0</v>
      </c>
      <c r="F46" s="69">
        <f>D46</f>
        <v>1350000</v>
      </c>
      <c r="G46" s="66" t="s">
        <v>159</v>
      </c>
      <c r="H46" s="66" t="s">
        <v>159</v>
      </c>
      <c r="I46" s="66" t="s">
        <v>159</v>
      </c>
    </row>
    <row r="47" spans="1:9" s="56" customFormat="1" x14ac:dyDescent="0.2">
      <c r="A47" s="2">
        <v>4</v>
      </c>
      <c r="B47" s="510" t="s">
        <v>92</v>
      </c>
      <c r="C47" s="496"/>
      <c r="D47" s="69">
        <v>7000000</v>
      </c>
      <c r="E47" s="74">
        <v>0</v>
      </c>
      <c r="F47" s="69">
        <f>D47</f>
        <v>7000000</v>
      </c>
      <c r="G47" s="66" t="s">
        <v>93</v>
      </c>
      <c r="H47" s="66" t="s">
        <v>93</v>
      </c>
      <c r="I47" s="66" t="s">
        <v>93</v>
      </c>
    </row>
    <row r="48" spans="1:9" s="56" customFormat="1" x14ac:dyDescent="0.2">
      <c r="A48" s="2">
        <v>5</v>
      </c>
      <c r="B48" s="510" t="s">
        <v>94</v>
      </c>
      <c r="C48" s="496"/>
      <c r="D48" s="64">
        <f>E48+F48</f>
        <v>1060000</v>
      </c>
      <c r="E48" s="74">
        <v>0</v>
      </c>
      <c r="F48" s="64">
        <v>1060000</v>
      </c>
      <c r="G48" s="66" t="s">
        <v>93</v>
      </c>
      <c r="H48" s="66" t="s">
        <v>93</v>
      </c>
      <c r="I48" s="66" t="s">
        <v>93</v>
      </c>
    </row>
    <row r="49" spans="1:9" s="56" customFormat="1" ht="42" customHeight="1" x14ac:dyDescent="0.2">
      <c r="A49" s="4">
        <v>6</v>
      </c>
      <c r="B49" s="510" t="s">
        <v>95</v>
      </c>
      <c r="C49" s="496"/>
      <c r="D49" s="75">
        <f>E49+F49</f>
        <v>9000000</v>
      </c>
      <c r="E49" s="76">
        <v>0</v>
      </c>
      <c r="F49" s="64">
        <v>9000000</v>
      </c>
      <c r="G49" s="66" t="s">
        <v>158</v>
      </c>
      <c r="H49" s="66" t="s">
        <v>158</v>
      </c>
      <c r="I49" s="66" t="s">
        <v>158</v>
      </c>
    </row>
    <row r="50" spans="1:9" s="56" customFormat="1" ht="42" customHeight="1" x14ac:dyDescent="0.2">
      <c r="A50" s="4">
        <v>7</v>
      </c>
      <c r="B50" s="495" t="s">
        <v>127</v>
      </c>
      <c r="C50" s="496"/>
      <c r="D50" s="64">
        <f>E50+F50</f>
        <v>7000000</v>
      </c>
      <c r="E50" s="74">
        <v>0</v>
      </c>
      <c r="F50" s="64">
        <v>7000000</v>
      </c>
      <c r="G50" s="68" t="s">
        <v>158</v>
      </c>
      <c r="H50" s="68" t="s">
        <v>158</v>
      </c>
      <c r="I50" s="68" t="s">
        <v>158</v>
      </c>
    </row>
    <row r="51" spans="1:9" s="56" customFormat="1" x14ac:dyDescent="0.2">
      <c r="A51" s="15"/>
      <c r="B51" s="511" t="s">
        <v>50</v>
      </c>
      <c r="C51" s="512"/>
      <c r="D51" s="77">
        <f>SUM(D52:D54)</f>
        <v>1198400</v>
      </c>
      <c r="E51" s="78">
        <f>E52+E53+E54</f>
        <v>1198400</v>
      </c>
      <c r="F51" s="77">
        <v>0</v>
      </c>
      <c r="G51" s="79"/>
      <c r="H51" s="79"/>
      <c r="I51" s="79"/>
    </row>
    <row r="52" spans="1:9" s="56" customFormat="1" ht="31.5" x14ac:dyDescent="0.2">
      <c r="A52" s="14">
        <v>1</v>
      </c>
      <c r="B52" s="495" t="s">
        <v>96</v>
      </c>
      <c r="C52" s="496"/>
      <c r="D52" s="69">
        <f>E52+F52</f>
        <v>298300</v>
      </c>
      <c r="E52" s="74">
        <v>298300</v>
      </c>
      <c r="F52" s="69">
        <v>0</v>
      </c>
      <c r="G52" s="70" t="s">
        <v>97</v>
      </c>
      <c r="H52" s="70" t="s">
        <v>97</v>
      </c>
      <c r="I52" s="70" t="s">
        <v>97</v>
      </c>
    </row>
    <row r="53" spans="1:9" s="56" customFormat="1" ht="31.5" x14ac:dyDescent="0.2">
      <c r="A53" s="80">
        <v>2</v>
      </c>
      <c r="B53" s="503" t="s">
        <v>98</v>
      </c>
      <c r="C53" s="496"/>
      <c r="D53" s="69">
        <f>E53+F53</f>
        <v>296700</v>
      </c>
      <c r="E53" s="74">
        <v>296700</v>
      </c>
      <c r="F53" s="69">
        <v>0</v>
      </c>
      <c r="G53" s="81" t="s">
        <v>97</v>
      </c>
      <c r="H53" s="81" t="s">
        <v>97</v>
      </c>
      <c r="I53" s="81" t="s">
        <v>97</v>
      </c>
    </row>
    <row r="54" spans="1:9" s="56" customFormat="1" ht="31.5" x14ac:dyDescent="0.2">
      <c r="A54" s="2">
        <v>3</v>
      </c>
      <c r="B54" s="495" t="s">
        <v>49</v>
      </c>
      <c r="C54" s="496"/>
      <c r="D54" s="69">
        <f>E54+F54</f>
        <v>603400</v>
      </c>
      <c r="E54" s="65">
        <v>603400</v>
      </c>
      <c r="F54" s="64">
        <v>0</v>
      </c>
      <c r="G54" s="70" t="s">
        <v>97</v>
      </c>
      <c r="H54" s="70" t="s">
        <v>97</v>
      </c>
      <c r="I54" s="70" t="s">
        <v>97</v>
      </c>
    </row>
    <row r="55" spans="1:9" s="85" customFormat="1" ht="24.75" customHeight="1" x14ac:dyDescent="0.2">
      <c r="A55" s="504" t="s">
        <v>99</v>
      </c>
      <c r="B55" s="505"/>
      <c r="C55" s="506"/>
      <c r="D55" s="82">
        <f>D57+D80+D82+D88</f>
        <v>36571300</v>
      </c>
      <c r="E55" s="82">
        <f>E57+E80+E82+E88</f>
        <v>10758300</v>
      </c>
      <c r="F55" s="82">
        <f>F57+F80+F82+F88</f>
        <v>25813000</v>
      </c>
      <c r="G55" s="83"/>
      <c r="H55" s="83"/>
      <c r="I55" s="83"/>
    </row>
    <row r="56" spans="1:9" s="89" customFormat="1" ht="21" customHeight="1" x14ac:dyDescent="0.2">
      <c r="A56" s="507" t="s">
        <v>48</v>
      </c>
      <c r="B56" s="508"/>
      <c r="C56" s="509"/>
      <c r="D56" s="86"/>
      <c r="E56" s="86"/>
      <c r="F56" s="86"/>
      <c r="G56" s="87"/>
      <c r="H56" s="87"/>
      <c r="I56" s="87"/>
    </row>
    <row r="57" spans="1:9" s="89" customFormat="1" x14ac:dyDescent="0.2">
      <c r="A57" s="152"/>
      <c r="B57" s="489" t="s">
        <v>47</v>
      </c>
      <c r="C57" s="490"/>
      <c r="D57" s="86">
        <f>D58+D59+D63+D71</f>
        <v>31572800</v>
      </c>
      <c r="E57" s="86">
        <f>E58+E59+E63+E71</f>
        <v>5759800</v>
      </c>
      <c r="F57" s="86">
        <f>F58+F59+F63+F71</f>
        <v>25813000</v>
      </c>
      <c r="G57" s="87"/>
      <c r="H57" s="87"/>
      <c r="I57" s="87"/>
    </row>
    <row r="58" spans="1:9" s="89" customFormat="1" x14ac:dyDescent="0.2">
      <c r="A58" s="2">
        <v>1</v>
      </c>
      <c r="B58" s="477" t="s">
        <v>46</v>
      </c>
      <c r="C58" s="478"/>
      <c r="D58" s="90">
        <f>E58+F58</f>
        <v>698340</v>
      </c>
      <c r="E58" s="90">
        <v>698340</v>
      </c>
      <c r="F58" s="90">
        <v>0</v>
      </c>
      <c r="G58" s="43" t="s">
        <v>100</v>
      </c>
      <c r="H58" s="43" t="s">
        <v>100</v>
      </c>
      <c r="I58" s="43" t="s">
        <v>100</v>
      </c>
    </row>
    <row r="59" spans="1:9" s="94" customFormat="1" ht="42" customHeight="1" x14ac:dyDescent="0.2">
      <c r="A59" s="13">
        <v>2</v>
      </c>
      <c r="B59" s="497" t="s">
        <v>101</v>
      </c>
      <c r="C59" s="498"/>
      <c r="D59" s="91">
        <f>E59+F59</f>
        <v>15104370</v>
      </c>
      <c r="E59" s="91">
        <v>1354370</v>
      </c>
      <c r="F59" s="91">
        <v>13750000</v>
      </c>
      <c r="G59" s="92" t="s">
        <v>102</v>
      </c>
      <c r="H59" s="92" t="s">
        <v>102</v>
      </c>
      <c r="I59" s="92" t="s">
        <v>102</v>
      </c>
    </row>
    <row r="60" spans="1:9" s="94" customFormat="1" x14ac:dyDescent="0.2">
      <c r="A60" s="11"/>
      <c r="B60" s="491" t="s">
        <v>45</v>
      </c>
      <c r="C60" s="492"/>
      <c r="D60" s="95"/>
      <c r="E60" s="95">
        <v>0</v>
      </c>
      <c r="F60" s="96">
        <v>1200000</v>
      </c>
      <c r="G60" s="97"/>
      <c r="H60" s="97"/>
      <c r="I60" s="97"/>
    </row>
    <row r="61" spans="1:9" s="94" customFormat="1" x14ac:dyDescent="0.2">
      <c r="A61" s="11"/>
      <c r="B61" s="491" t="s">
        <v>44</v>
      </c>
      <c r="C61" s="492"/>
      <c r="D61" s="95"/>
      <c r="E61" s="95">
        <v>0</v>
      </c>
      <c r="F61" s="96">
        <v>900000</v>
      </c>
      <c r="G61" s="97"/>
      <c r="H61" s="97"/>
      <c r="I61" s="97"/>
    </row>
    <row r="62" spans="1:9" s="94" customFormat="1" x14ac:dyDescent="0.2">
      <c r="A62" s="9"/>
      <c r="B62" s="493" t="s">
        <v>120</v>
      </c>
      <c r="C62" s="494"/>
      <c r="D62" s="98"/>
      <c r="E62" s="98">
        <v>0</v>
      </c>
      <c r="F62" s="99">
        <v>11650000</v>
      </c>
      <c r="G62" s="100"/>
      <c r="H62" s="100"/>
      <c r="I62" s="100"/>
    </row>
    <row r="63" spans="1:9" s="94" customFormat="1" ht="63" customHeight="1" x14ac:dyDescent="0.2">
      <c r="A63" s="12">
        <v>3</v>
      </c>
      <c r="B63" s="497" t="s">
        <v>121</v>
      </c>
      <c r="C63" s="498"/>
      <c r="D63" s="91">
        <f>E63+F63</f>
        <v>11036590</v>
      </c>
      <c r="E63" s="91">
        <v>1025590</v>
      </c>
      <c r="F63" s="91">
        <v>10011000</v>
      </c>
      <c r="G63" s="92" t="s">
        <v>102</v>
      </c>
      <c r="H63" s="92" t="s">
        <v>102</v>
      </c>
      <c r="I63" s="92" t="s">
        <v>102</v>
      </c>
    </row>
    <row r="64" spans="1:9" s="94" customFormat="1" ht="31.5" customHeight="1" x14ac:dyDescent="0.2">
      <c r="A64" s="10"/>
      <c r="B64" s="491" t="s">
        <v>103</v>
      </c>
      <c r="C64" s="492"/>
      <c r="D64" s="101"/>
      <c r="E64" s="101"/>
      <c r="F64" s="102">
        <v>6651000</v>
      </c>
      <c r="G64" s="103"/>
      <c r="H64" s="103"/>
      <c r="I64" s="103"/>
    </row>
    <row r="65" spans="1:9" s="94" customFormat="1" x14ac:dyDescent="0.2">
      <c r="A65" s="11"/>
      <c r="B65" s="491" t="s">
        <v>43</v>
      </c>
      <c r="C65" s="492"/>
      <c r="D65" s="95"/>
      <c r="E65" s="95"/>
      <c r="F65" s="96">
        <v>260000</v>
      </c>
      <c r="G65" s="97"/>
      <c r="H65" s="97"/>
      <c r="I65" s="97"/>
    </row>
    <row r="66" spans="1:9" s="94" customFormat="1" x14ac:dyDescent="0.2">
      <c r="A66" s="11"/>
      <c r="B66" s="491" t="s">
        <v>122</v>
      </c>
      <c r="C66" s="492"/>
      <c r="D66" s="95"/>
      <c r="E66" s="95"/>
      <c r="F66" s="96">
        <v>400000</v>
      </c>
      <c r="G66" s="97"/>
      <c r="H66" s="97"/>
      <c r="I66" s="97"/>
    </row>
    <row r="67" spans="1:9" s="94" customFormat="1" x14ac:dyDescent="0.2">
      <c r="A67" s="11"/>
      <c r="B67" s="491" t="s">
        <v>42</v>
      </c>
      <c r="C67" s="492"/>
      <c r="D67" s="95"/>
      <c r="E67" s="95"/>
      <c r="F67" s="96">
        <v>400000</v>
      </c>
      <c r="G67" s="97"/>
      <c r="H67" s="97"/>
      <c r="I67" s="97"/>
    </row>
    <row r="68" spans="1:9" s="94" customFormat="1" x14ac:dyDescent="0.2">
      <c r="A68" s="11"/>
      <c r="B68" s="491" t="s">
        <v>41</v>
      </c>
      <c r="C68" s="492"/>
      <c r="D68" s="95"/>
      <c r="E68" s="95"/>
      <c r="F68" s="96">
        <v>600000</v>
      </c>
      <c r="G68" s="97"/>
      <c r="H68" s="97"/>
      <c r="I68" s="97"/>
    </row>
    <row r="69" spans="1:9" s="94" customFormat="1" x14ac:dyDescent="0.2">
      <c r="A69" s="11"/>
      <c r="B69" s="491" t="s">
        <v>123</v>
      </c>
      <c r="C69" s="492"/>
      <c r="D69" s="95"/>
      <c r="E69" s="95"/>
      <c r="F69" s="96">
        <v>1200000</v>
      </c>
      <c r="G69" s="97"/>
      <c r="H69" s="97"/>
      <c r="I69" s="97"/>
    </row>
    <row r="70" spans="1:9" s="94" customFormat="1" x14ac:dyDescent="0.2">
      <c r="A70" s="9"/>
      <c r="B70" s="493" t="s">
        <v>40</v>
      </c>
      <c r="C70" s="494"/>
      <c r="D70" s="98"/>
      <c r="E70" s="98"/>
      <c r="F70" s="99">
        <v>500000</v>
      </c>
      <c r="G70" s="100"/>
      <c r="H70" s="100"/>
      <c r="I70" s="100"/>
    </row>
    <row r="71" spans="1:9" s="94" customFormat="1" ht="46.5" customHeight="1" x14ac:dyDescent="0.2">
      <c r="A71" s="12">
        <v>4</v>
      </c>
      <c r="B71" s="497" t="s">
        <v>124</v>
      </c>
      <c r="C71" s="498"/>
      <c r="D71" s="91">
        <f>E71+F71</f>
        <v>4733500</v>
      </c>
      <c r="E71" s="91">
        <v>2681500</v>
      </c>
      <c r="F71" s="91">
        <v>2052000</v>
      </c>
      <c r="G71" s="92" t="s">
        <v>102</v>
      </c>
      <c r="H71" s="92" t="s">
        <v>102</v>
      </c>
      <c r="I71" s="92" t="s">
        <v>102</v>
      </c>
    </row>
    <row r="72" spans="1:9" s="94" customFormat="1" x14ac:dyDescent="0.2">
      <c r="A72" s="11"/>
      <c r="B72" s="491" t="s">
        <v>39</v>
      </c>
      <c r="C72" s="492"/>
      <c r="D72" s="95"/>
      <c r="E72" s="95"/>
      <c r="F72" s="96">
        <v>10000</v>
      </c>
      <c r="G72" s="97"/>
      <c r="H72" s="97"/>
      <c r="I72" s="97"/>
    </row>
    <row r="73" spans="1:9" s="94" customFormat="1" x14ac:dyDescent="0.2">
      <c r="A73" s="167"/>
      <c r="B73" s="499" t="s">
        <v>38</v>
      </c>
      <c r="C73" s="500"/>
      <c r="D73" s="168"/>
      <c r="E73" s="168"/>
      <c r="F73" s="169">
        <v>648000</v>
      </c>
      <c r="G73" s="170"/>
      <c r="H73" s="170"/>
      <c r="I73" s="170"/>
    </row>
    <row r="74" spans="1:9" s="94" customFormat="1" x14ac:dyDescent="0.2">
      <c r="A74" s="10"/>
      <c r="B74" s="501" t="s">
        <v>37</v>
      </c>
      <c r="C74" s="502"/>
      <c r="D74" s="101"/>
      <c r="E74" s="101"/>
      <c r="F74" s="102">
        <v>32000</v>
      </c>
      <c r="G74" s="103"/>
      <c r="H74" s="103"/>
      <c r="I74" s="103"/>
    </row>
    <row r="75" spans="1:9" s="94" customFormat="1" x14ac:dyDescent="0.2">
      <c r="A75" s="11"/>
      <c r="B75" s="491" t="s">
        <v>36</v>
      </c>
      <c r="C75" s="492"/>
      <c r="D75" s="95"/>
      <c r="E75" s="95"/>
      <c r="F75" s="96">
        <v>10000</v>
      </c>
      <c r="G75" s="97"/>
      <c r="H75" s="97"/>
      <c r="I75" s="97"/>
    </row>
    <row r="76" spans="1:9" s="94" customFormat="1" x14ac:dyDescent="0.2">
      <c r="A76" s="11"/>
      <c r="B76" s="491" t="s">
        <v>35</v>
      </c>
      <c r="C76" s="492"/>
      <c r="D76" s="95"/>
      <c r="E76" s="95"/>
      <c r="F76" s="96">
        <v>25000</v>
      </c>
      <c r="G76" s="97"/>
      <c r="H76" s="97"/>
      <c r="I76" s="97"/>
    </row>
    <row r="77" spans="1:9" s="94" customFormat="1" x14ac:dyDescent="0.2">
      <c r="A77" s="11"/>
      <c r="B77" s="491" t="s">
        <v>125</v>
      </c>
      <c r="C77" s="492"/>
      <c r="D77" s="95"/>
      <c r="E77" s="95"/>
      <c r="F77" s="96">
        <v>423000</v>
      </c>
      <c r="G77" s="97"/>
      <c r="H77" s="97"/>
      <c r="I77" s="97"/>
    </row>
    <row r="78" spans="1:9" s="94" customFormat="1" x14ac:dyDescent="0.2">
      <c r="A78" s="10"/>
      <c r="B78" s="491" t="s">
        <v>34</v>
      </c>
      <c r="C78" s="492"/>
      <c r="D78" s="101"/>
      <c r="E78" s="101"/>
      <c r="F78" s="102">
        <v>204000</v>
      </c>
      <c r="G78" s="103"/>
      <c r="H78" s="103"/>
      <c r="I78" s="103"/>
    </row>
    <row r="79" spans="1:9" s="94" customFormat="1" x14ac:dyDescent="0.2">
      <c r="A79" s="9"/>
      <c r="B79" s="493" t="s">
        <v>33</v>
      </c>
      <c r="C79" s="494"/>
      <c r="D79" s="98"/>
      <c r="E79" s="98"/>
      <c r="F79" s="99">
        <v>700000</v>
      </c>
      <c r="G79" s="100"/>
      <c r="H79" s="100"/>
      <c r="I79" s="100"/>
    </row>
    <row r="80" spans="1:9" s="107" customFormat="1" x14ac:dyDescent="0.2">
      <c r="A80" s="8"/>
      <c r="B80" s="489" t="s">
        <v>32</v>
      </c>
      <c r="C80" s="490"/>
      <c r="D80" s="104">
        <f>SUM(D81:D81)</f>
        <v>400000</v>
      </c>
      <c r="E80" s="104">
        <v>400000</v>
      </c>
      <c r="F80" s="104"/>
      <c r="G80" s="105"/>
      <c r="H80" s="105"/>
      <c r="I80" s="105"/>
    </row>
    <row r="81" spans="1:9" s="89" customFormat="1" x14ac:dyDescent="0.2">
      <c r="A81" s="2">
        <v>1</v>
      </c>
      <c r="B81" s="495" t="s">
        <v>31</v>
      </c>
      <c r="C81" s="496"/>
      <c r="D81" s="108">
        <v>400000</v>
      </c>
      <c r="E81" s="42">
        <v>400000</v>
      </c>
      <c r="F81" s="108">
        <v>0</v>
      </c>
      <c r="G81" s="70" t="s">
        <v>104</v>
      </c>
      <c r="H81" s="70" t="s">
        <v>104</v>
      </c>
      <c r="I81" s="70" t="s">
        <v>104</v>
      </c>
    </row>
    <row r="82" spans="1:9" s="111" customFormat="1" x14ac:dyDescent="0.2">
      <c r="A82" s="109"/>
      <c r="B82" s="489" t="s">
        <v>126</v>
      </c>
      <c r="C82" s="490"/>
      <c r="D82" s="86">
        <f>SUM(D83:D87)</f>
        <v>1898500</v>
      </c>
      <c r="E82" s="86">
        <f>SUM(E83:E87)</f>
        <v>1898500</v>
      </c>
      <c r="F82" s="86">
        <f>SUM(F83:F87)</f>
        <v>0</v>
      </c>
      <c r="G82" s="105"/>
      <c r="H82" s="105"/>
      <c r="I82" s="105"/>
    </row>
    <row r="83" spans="1:9" s="89" customFormat="1" x14ac:dyDescent="0.2">
      <c r="A83" s="6">
        <v>1</v>
      </c>
      <c r="B83" s="477" t="s">
        <v>105</v>
      </c>
      <c r="C83" s="478"/>
      <c r="D83" s="90">
        <f>E83+F83</f>
        <v>453350</v>
      </c>
      <c r="E83" s="90">
        <v>453350</v>
      </c>
      <c r="F83" s="90">
        <v>0</v>
      </c>
      <c r="G83" s="43" t="s">
        <v>106</v>
      </c>
      <c r="H83" s="43" t="s">
        <v>106</v>
      </c>
      <c r="I83" s="43" t="s">
        <v>106</v>
      </c>
    </row>
    <row r="84" spans="1:9" s="89" customFormat="1" ht="42" customHeight="1" x14ac:dyDescent="0.2">
      <c r="A84" s="7">
        <v>2</v>
      </c>
      <c r="B84" s="477" t="s">
        <v>167</v>
      </c>
      <c r="C84" s="478"/>
      <c r="D84" s="90">
        <f t="shared" ref="D84:D91" si="3">E84+F84</f>
        <v>758450</v>
      </c>
      <c r="E84" s="90">
        <v>758450</v>
      </c>
      <c r="F84" s="90"/>
      <c r="G84" s="43" t="s">
        <v>106</v>
      </c>
      <c r="H84" s="43" t="s">
        <v>106</v>
      </c>
      <c r="I84" s="43" t="s">
        <v>106</v>
      </c>
    </row>
    <row r="85" spans="1:9" s="89" customFormat="1" x14ac:dyDescent="0.2">
      <c r="A85" s="7">
        <v>3</v>
      </c>
      <c r="B85" s="477" t="s">
        <v>30</v>
      </c>
      <c r="C85" s="478"/>
      <c r="D85" s="90">
        <f t="shared" si="3"/>
        <v>420000</v>
      </c>
      <c r="E85" s="90">
        <v>420000</v>
      </c>
      <c r="F85" s="90">
        <v>0</v>
      </c>
      <c r="G85" s="43" t="s">
        <v>106</v>
      </c>
      <c r="H85" s="43" t="s">
        <v>106</v>
      </c>
      <c r="I85" s="43" t="s">
        <v>106</v>
      </c>
    </row>
    <row r="86" spans="1:9" s="89" customFormat="1" x14ac:dyDescent="0.2">
      <c r="A86" s="7">
        <v>4</v>
      </c>
      <c r="B86" s="477" t="s">
        <v>107</v>
      </c>
      <c r="C86" s="478"/>
      <c r="D86" s="90">
        <f t="shared" si="3"/>
        <v>150300</v>
      </c>
      <c r="E86" s="90">
        <v>150300</v>
      </c>
      <c r="F86" s="90">
        <v>0</v>
      </c>
      <c r="G86" s="43" t="s">
        <v>100</v>
      </c>
      <c r="H86" s="43" t="s">
        <v>100</v>
      </c>
      <c r="I86" s="43" t="s">
        <v>100</v>
      </c>
    </row>
    <row r="87" spans="1:9" s="89" customFormat="1" x14ac:dyDescent="0.2">
      <c r="A87" s="7">
        <v>5</v>
      </c>
      <c r="B87" s="477" t="s">
        <v>29</v>
      </c>
      <c r="C87" s="478"/>
      <c r="D87" s="90">
        <f t="shared" si="3"/>
        <v>116400</v>
      </c>
      <c r="E87" s="90">
        <v>116400</v>
      </c>
      <c r="F87" s="90">
        <v>0</v>
      </c>
      <c r="G87" s="43" t="s">
        <v>78</v>
      </c>
      <c r="H87" s="43" t="s">
        <v>78</v>
      </c>
      <c r="I87" s="43" t="s">
        <v>78</v>
      </c>
    </row>
    <row r="88" spans="1:9" s="89" customFormat="1" x14ac:dyDescent="0.2">
      <c r="A88" s="138"/>
      <c r="B88" s="475" t="s">
        <v>28</v>
      </c>
      <c r="C88" s="476"/>
      <c r="D88" s="112">
        <f>SUM(D89:D89)</f>
        <v>2700000</v>
      </c>
      <c r="E88" s="112">
        <f>SUM(E89:E89)</f>
        <v>2700000</v>
      </c>
      <c r="F88" s="112"/>
      <c r="G88" s="87"/>
      <c r="H88" s="87"/>
      <c r="I88" s="87"/>
    </row>
    <row r="89" spans="1:9" s="89" customFormat="1" ht="42" customHeight="1" x14ac:dyDescent="0.2">
      <c r="A89" s="6">
        <v>1</v>
      </c>
      <c r="B89" s="477" t="s">
        <v>168</v>
      </c>
      <c r="C89" s="478"/>
      <c r="D89" s="90">
        <f t="shared" si="3"/>
        <v>2700000</v>
      </c>
      <c r="E89" s="113">
        <v>2700000</v>
      </c>
      <c r="F89" s="113">
        <v>0</v>
      </c>
      <c r="G89" s="100" t="s">
        <v>108</v>
      </c>
      <c r="H89" s="100" t="s">
        <v>108</v>
      </c>
      <c r="I89" s="100" t="s">
        <v>108</v>
      </c>
    </row>
    <row r="90" spans="1:9" s="85" customFormat="1" ht="21" customHeight="1" x14ac:dyDescent="0.2">
      <c r="A90" s="479" t="s">
        <v>109</v>
      </c>
      <c r="B90" s="480"/>
      <c r="C90" s="481"/>
      <c r="D90" s="114">
        <f>+D92+D94</f>
        <v>10200000</v>
      </c>
      <c r="E90" s="114">
        <f>+E92+E94</f>
        <v>10200000</v>
      </c>
      <c r="F90" s="114">
        <f>+F92+F94</f>
        <v>0</v>
      </c>
      <c r="G90" s="115"/>
      <c r="H90" s="115"/>
      <c r="I90" s="115"/>
    </row>
    <row r="91" spans="1:9" s="120" customFormat="1" ht="21" customHeight="1" x14ac:dyDescent="0.35">
      <c r="A91" s="482" t="s">
        <v>27</v>
      </c>
      <c r="B91" s="483"/>
      <c r="C91" s="484"/>
      <c r="D91" s="116">
        <f t="shared" si="3"/>
        <v>0</v>
      </c>
      <c r="E91" s="117"/>
      <c r="F91" s="118"/>
      <c r="G91" s="119"/>
      <c r="H91" s="119"/>
      <c r="I91" s="119"/>
    </row>
    <row r="92" spans="1:9" s="56" customFormat="1" x14ac:dyDescent="0.2">
      <c r="A92" s="5"/>
      <c r="B92" s="485" t="s">
        <v>26</v>
      </c>
      <c r="C92" s="486"/>
      <c r="D92" s="116">
        <f>E92+F92</f>
        <v>600000</v>
      </c>
      <c r="E92" s="121">
        <f>E93</f>
        <v>600000</v>
      </c>
      <c r="F92" s="122">
        <v>0</v>
      </c>
      <c r="G92" s="123"/>
      <c r="H92" s="123"/>
      <c r="I92" s="123"/>
    </row>
    <row r="93" spans="1:9" s="56" customFormat="1" ht="30" x14ac:dyDescent="0.2">
      <c r="A93" s="4">
        <v>1</v>
      </c>
      <c r="B93" s="487" t="s">
        <v>25</v>
      </c>
      <c r="C93" s="488"/>
      <c r="D93" s="90">
        <f>E93+F93</f>
        <v>600000</v>
      </c>
      <c r="E93" s="90">
        <v>600000</v>
      </c>
      <c r="F93" s="90">
        <v>0</v>
      </c>
      <c r="G93" s="166" t="s">
        <v>110</v>
      </c>
      <c r="H93" s="166" t="s">
        <v>110</v>
      </c>
      <c r="I93" s="166" t="s">
        <v>110</v>
      </c>
    </row>
    <row r="94" spans="1:9" s="62" customFormat="1" x14ac:dyDescent="0.2">
      <c r="A94" s="3"/>
      <c r="B94" s="473" t="s">
        <v>24</v>
      </c>
      <c r="C94" s="474"/>
      <c r="D94" s="124">
        <f>SUM(D95:D110)</f>
        <v>9600000</v>
      </c>
      <c r="E94" s="125">
        <f>SUM(E95:E110)</f>
        <v>9600000</v>
      </c>
      <c r="F94" s="124">
        <f>SUM(F95:F110)</f>
        <v>0</v>
      </c>
      <c r="G94" s="126"/>
      <c r="H94" s="126"/>
      <c r="I94" s="126"/>
    </row>
    <row r="95" spans="1:9" s="56" customFormat="1" ht="34.5" x14ac:dyDescent="0.2">
      <c r="A95" s="2">
        <v>1</v>
      </c>
      <c r="B95" s="466" t="s">
        <v>23</v>
      </c>
      <c r="C95" s="467"/>
      <c r="D95" s="90">
        <f>E95+F95</f>
        <v>500000</v>
      </c>
      <c r="E95" s="76">
        <v>500000</v>
      </c>
      <c r="F95" s="127">
        <v>0</v>
      </c>
      <c r="G95" s="128" t="s">
        <v>111</v>
      </c>
      <c r="H95" s="128" t="s">
        <v>111</v>
      </c>
      <c r="I95" s="128" t="s">
        <v>111</v>
      </c>
    </row>
    <row r="96" spans="1:9" s="56" customFormat="1" x14ac:dyDescent="0.2">
      <c r="A96" s="2">
        <v>2</v>
      </c>
      <c r="B96" s="466" t="s">
        <v>22</v>
      </c>
      <c r="C96" s="467"/>
      <c r="D96" s="90">
        <f t="shared" ref="D96:D110" si="4">E96+F96</f>
        <v>400000</v>
      </c>
      <c r="E96" s="76">
        <v>400000</v>
      </c>
      <c r="F96" s="127">
        <v>0</v>
      </c>
      <c r="G96" s="129" t="s">
        <v>13</v>
      </c>
      <c r="H96" s="129" t="s">
        <v>13</v>
      </c>
      <c r="I96" s="129" t="s">
        <v>13</v>
      </c>
    </row>
    <row r="97" spans="1:9" s="56" customFormat="1" x14ac:dyDescent="0.2">
      <c r="A97" s="2">
        <v>3</v>
      </c>
      <c r="B97" s="466" t="s">
        <v>21</v>
      </c>
      <c r="C97" s="467"/>
      <c r="D97" s="90">
        <f t="shared" si="4"/>
        <v>500000</v>
      </c>
      <c r="E97" s="76">
        <v>500000</v>
      </c>
      <c r="F97" s="127">
        <v>0</v>
      </c>
      <c r="G97" s="129" t="s">
        <v>112</v>
      </c>
      <c r="H97" s="129" t="s">
        <v>112</v>
      </c>
      <c r="I97" s="129" t="s">
        <v>112</v>
      </c>
    </row>
    <row r="98" spans="1:9" s="56" customFormat="1" x14ac:dyDescent="0.2">
      <c r="A98" s="2">
        <v>4</v>
      </c>
      <c r="B98" s="466" t="s">
        <v>20</v>
      </c>
      <c r="C98" s="467"/>
      <c r="D98" s="90">
        <f t="shared" si="4"/>
        <v>500000</v>
      </c>
      <c r="E98" s="76">
        <v>500000</v>
      </c>
      <c r="F98" s="127">
        <v>0</v>
      </c>
      <c r="G98" s="128" t="s">
        <v>2</v>
      </c>
      <c r="H98" s="128" t="s">
        <v>2</v>
      </c>
      <c r="I98" s="128" t="s">
        <v>2</v>
      </c>
    </row>
    <row r="99" spans="1:9" s="56" customFormat="1" x14ac:dyDescent="0.2">
      <c r="A99" s="2">
        <v>5</v>
      </c>
      <c r="B99" s="466" t="s">
        <v>19</v>
      </c>
      <c r="C99" s="467"/>
      <c r="D99" s="90">
        <f t="shared" si="4"/>
        <v>500000</v>
      </c>
      <c r="E99" s="76">
        <v>500000</v>
      </c>
      <c r="F99" s="127">
        <v>0</v>
      </c>
      <c r="G99" s="129" t="s">
        <v>2</v>
      </c>
      <c r="H99" s="129" t="s">
        <v>2</v>
      </c>
      <c r="I99" s="129" t="s">
        <v>2</v>
      </c>
    </row>
    <row r="100" spans="1:9" s="56" customFormat="1" x14ac:dyDescent="0.2">
      <c r="A100" s="2">
        <v>6</v>
      </c>
      <c r="B100" s="466" t="s">
        <v>18</v>
      </c>
      <c r="C100" s="467"/>
      <c r="D100" s="90">
        <f t="shared" si="4"/>
        <v>500000</v>
      </c>
      <c r="E100" s="76">
        <v>500000</v>
      </c>
      <c r="F100" s="127">
        <v>0</v>
      </c>
      <c r="G100" s="129" t="s">
        <v>113</v>
      </c>
      <c r="H100" s="129" t="s">
        <v>113</v>
      </c>
      <c r="I100" s="129" t="s">
        <v>113</v>
      </c>
    </row>
    <row r="101" spans="1:9" s="30" customFormat="1" x14ac:dyDescent="0.2">
      <c r="A101" s="2">
        <v>7</v>
      </c>
      <c r="B101" s="471" t="s">
        <v>17</v>
      </c>
      <c r="C101" s="472"/>
      <c r="D101" s="90">
        <f t="shared" si="4"/>
        <v>1400000</v>
      </c>
      <c r="E101" s="76">
        <v>1400000</v>
      </c>
      <c r="F101" s="127">
        <v>0</v>
      </c>
      <c r="G101" s="130" t="s">
        <v>114</v>
      </c>
      <c r="H101" s="130" t="s">
        <v>114</v>
      </c>
      <c r="I101" s="130" t="s">
        <v>114</v>
      </c>
    </row>
    <row r="102" spans="1:9" s="56" customFormat="1" x14ac:dyDescent="0.2">
      <c r="A102" s="2">
        <v>8</v>
      </c>
      <c r="B102" s="466" t="s">
        <v>16</v>
      </c>
      <c r="C102" s="467"/>
      <c r="D102" s="90">
        <f t="shared" si="4"/>
        <v>500000</v>
      </c>
      <c r="E102" s="76">
        <v>500000</v>
      </c>
      <c r="F102" s="127">
        <v>0</v>
      </c>
      <c r="G102" s="128" t="s">
        <v>15</v>
      </c>
      <c r="H102" s="128" t="s">
        <v>15</v>
      </c>
      <c r="I102" s="128" t="s">
        <v>15</v>
      </c>
    </row>
    <row r="103" spans="1:9" s="56" customFormat="1" x14ac:dyDescent="0.2">
      <c r="A103" s="2">
        <v>9</v>
      </c>
      <c r="B103" s="466" t="s">
        <v>14</v>
      </c>
      <c r="C103" s="467"/>
      <c r="D103" s="90">
        <f t="shared" si="4"/>
        <v>500000</v>
      </c>
      <c r="E103" s="76">
        <v>500000</v>
      </c>
      <c r="F103" s="127">
        <v>0</v>
      </c>
      <c r="G103" s="128" t="s">
        <v>13</v>
      </c>
      <c r="H103" s="128" t="s">
        <v>13</v>
      </c>
      <c r="I103" s="128" t="s">
        <v>13</v>
      </c>
    </row>
    <row r="104" spans="1:9" s="56" customFormat="1" x14ac:dyDescent="0.2">
      <c r="A104" s="2">
        <v>10</v>
      </c>
      <c r="B104" s="466" t="s">
        <v>12</v>
      </c>
      <c r="C104" s="467"/>
      <c r="D104" s="90">
        <f t="shared" si="4"/>
        <v>1000000</v>
      </c>
      <c r="E104" s="76">
        <v>1000000</v>
      </c>
      <c r="F104" s="127">
        <v>0</v>
      </c>
      <c r="G104" s="128" t="s">
        <v>6</v>
      </c>
      <c r="H104" s="128" t="s">
        <v>6</v>
      </c>
      <c r="I104" s="128" t="s">
        <v>6</v>
      </c>
    </row>
    <row r="105" spans="1:9" s="56" customFormat="1" x14ac:dyDescent="0.2">
      <c r="A105" s="2">
        <v>11</v>
      </c>
      <c r="B105" s="466" t="s">
        <v>11</v>
      </c>
      <c r="C105" s="467"/>
      <c r="D105" s="90">
        <f t="shared" si="4"/>
        <v>500000</v>
      </c>
      <c r="E105" s="76">
        <v>500000</v>
      </c>
      <c r="F105" s="127">
        <v>0</v>
      </c>
      <c r="G105" s="129" t="s">
        <v>10</v>
      </c>
      <c r="H105" s="129" t="s">
        <v>10</v>
      </c>
      <c r="I105" s="129" t="s">
        <v>10</v>
      </c>
    </row>
    <row r="106" spans="1:9" s="56" customFormat="1" x14ac:dyDescent="0.2">
      <c r="A106" s="2">
        <v>12</v>
      </c>
      <c r="B106" s="466" t="s">
        <v>9</v>
      </c>
      <c r="C106" s="467"/>
      <c r="D106" s="90">
        <f t="shared" si="4"/>
        <v>500000</v>
      </c>
      <c r="E106" s="76">
        <v>500000</v>
      </c>
      <c r="F106" s="127">
        <v>0</v>
      </c>
      <c r="G106" s="128" t="s">
        <v>8</v>
      </c>
      <c r="H106" s="128" t="s">
        <v>8</v>
      </c>
      <c r="I106" s="128" t="s">
        <v>8</v>
      </c>
    </row>
    <row r="107" spans="1:9" s="56" customFormat="1" x14ac:dyDescent="0.2">
      <c r="A107" s="2">
        <v>13</v>
      </c>
      <c r="B107" s="466" t="s">
        <v>7</v>
      </c>
      <c r="C107" s="467"/>
      <c r="D107" s="90">
        <f t="shared" si="4"/>
        <v>500000</v>
      </c>
      <c r="E107" s="76">
        <v>500000</v>
      </c>
      <c r="F107" s="127">
        <v>0</v>
      </c>
      <c r="G107" s="128" t="s">
        <v>6</v>
      </c>
      <c r="H107" s="128" t="s">
        <v>6</v>
      </c>
      <c r="I107" s="128" t="s">
        <v>6</v>
      </c>
    </row>
    <row r="108" spans="1:9" s="56" customFormat="1" x14ac:dyDescent="0.2">
      <c r="A108" s="2">
        <v>14</v>
      </c>
      <c r="B108" s="466" t="s">
        <v>5</v>
      </c>
      <c r="C108" s="467"/>
      <c r="D108" s="90">
        <f t="shared" si="4"/>
        <v>300000</v>
      </c>
      <c r="E108" s="76">
        <v>300000</v>
      </c>
      <c r="F108" s="127">
        <v>0</v>
      </c>
      <c r="G108" s="129" t="s">
        <v>115</v>
      </c>
      <c r="H108" s="129" t="s">
        <v>115</v>
      </c>
      <c r="I108" s="129" t="s">
        <v>115</v>
      </c>
    </row>
    <row r="109" spans="1:9" s="56" customFormat="1" x14ac:dyDescent="0.2">
      <c r="A109" s="2">
        <v>15</v>
      </c>
      <c r="B109" s="466" t="s">
        <v>4</v>
      </c>
      <c r="C109" s="467"/>
      <c r="D109" s="90">
        <f t="shared" si="4"/>
        <v>500000</v>
      </c>
      <c r="E109" s="76">
        <v>500000</v>
      </c>
      <c r="F109" s="127">
        <v>0</v>
      </c>
      <c r="G109" s="128" t="s">
        <v>112</v>
      </c>
      <c r="H109" s="128" t="s">
        <v>112</v>
      </c>
      <c r="I109" s="128" t="s">
        <v>112</v>
      </c>
    </row>
    <row r="110" spans="1:9" s="56" customFormat="1" x14ac:dyDescent="0.2">
      <c r="A110" s="2">
        <v>16</v>
      </c>
      <c r="B110" s="466" t="s">
        <v>3</v>
      </c>
      <c r="C110" s="467"/>
      <c r="D110" s="90">
        <f t="shared" si="4"/>
        <v>1000000</v>
      </c>
      <c r="E110" s="76">
        <v>1000000</v>
      </c>
      <c r="F110" s="127">
        <v>0</v>
      </c>
      <c r="G110" s="128" t="s">
        <v>2</v>
      </c>
      <c r="H110" s="128" t="s">
        <v>2</v>
      </c>
      <c r="I110" s="128" t="s">
        <v>2</v>
      </c>
    </row>
    <row r="111" spans="1:9" s="56" customFormat="1" ht="21" customHeight="1" x14ac:dyDescent="0.35">
      <c r="A111" s="468" t="s">
        <v>1</v>
      </c>
      <c r="B111" s="469"/>
      <c r="C111" s="470"/>
      <c r="D111" s="131">
        <v>8000000</v>
      </c>
      <c r="E111" s="132">
        <f>D111</f>
        <v>8000000</v>
      </c>
      <c r="F111" s="131">
        <v>0</v>
      </c>
      <c r="G111" s="133"/>
      <c r="H111" s="133"/>
      <c r="I111" s="133"/>
    </row>
    <row r="112" spans="1:9" x14ac:dyDescent="0.35">
      <c r="A112" s="458" t="s">
        <v>0</v>
      </c>
      <c r="B112" s="459"/>
      <c r="C112" s="460"/>
      <c r="D112" s="21">
        <f>D10+D111</f>
        <v>195006100</v>
      </c>
      <c r="E112" s="22">
        <f>E10+E111</f>
        <v>34732700</v>
      </c>
      <c r="F112" s="21">
        <f>F10+F111</f>
        <v>160273400</v>
      </c>
      <c r="G112" s="23"/>
      <c r="H112" s="23"/>
      <c r="I112" s="23"/>
    </row>
  </sheetData>
  <autoFilter ref="A7:G112">
    <filterColumn colId="0" showButton="0"/>
    <filterColumn colId="3" showButton="0"/>
    <filterColumn colId="4" showButton="0"/>
    <filterColumn colId="5" showButton="0"/>
  </autoFilter>
  <mergeCells count="112">
    <mergeCell ref="A1:G1"/>
    <mergeCell ref="A7:C9"/>
    <mergeCell ref="D7:F8"/>
    <mergeCell ref="G7:G9"/>
    <mergeCell ref="B4:C4"/>
    <mergeCell ref="B16:C16"/>
    <mergeCell ref="B17:C17"/>
    <mergeCell ref="B18:C18"/>
    <mergeCell ref="B19:C19"/>
    <mergeCell ref="B20:C20"/>
    <mergeCell ref="B21:C21"/>
    <mergeCell ref="A10:C10"/>
    <mergeCell ref="A11:C11"/>
    <mergeCell ref="A12:C12"/>
    <mergeCell ref="B13:C13"/>
    <mergeCell ref="B14:C14"/>
    <mergeCell ref="B15:C15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52:C52"/>
    <mergeCell ref="B53:C53"/>
    <mergeCell ref="B54:C54"/>
    <mergeCell ref="A55:C55"/>
    <mergeCell ref="A56:C56"/>
    <mergeCell ref="B57:C57"/>
    <mergeCell ref="B46:C46"/>
    <mergeCell ref="B47:C47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89:C89"/>
    <mergeCell ref="A90:C90"/>
    <mergeCell ref="A91:C91"/>
    <mergeCell ref="B92:C92"/>
    <mergeCell ref="B93:C93"/>
    <mergeCell ref="B82:C82"/>
    <mergeCell ref="B83:C83"/>
    <mergeCell ref="B84:C84"/>
    <mergeCell ref="B85:C85"/>
    <mergeCell ref="B86:C86"/>
    <mergeCell ref="B87:C87"/>
    <mergeCell ref="A112:C112"/>
    <mergeCell ref="H7:H9"/>
    <mergeCell ref="I7:I9"/>
    <mergeCell ref="A6:I6"/>
    <mergeCell ref="B5:C5"/>
    <mergeCell ref="B106:C106"/>
    <mergeCell ref="B107:C107"/>
    <mergeCell ref="B108:C108"/>
    <mergeCell ref="B109:C109"/>
    <mergeCell ref="B110:C110"/>
    <mergeCell ref="A111:C111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</mergeCells>
  <pageMargins left="0.15748031496062992" right="7.874015748031496E-2" top="0.35433070866141736" bottom="0.31496062992125984" header="0.15748031496062992" footer="7.874015748031496E-2"/>
  <pageSetup paperSize="9" orientation="landscape" horizontalDpi="0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3" manualBreakCount="3">
    <brk id="32" max="9" man="1"/>
    <brk id="54" max="9" man="1"/>
    <brk id="8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A7" zoomScale="80" zoomScaleNormal="80" workbookViewId="0">
      <selection activeCell="G15" sqref="G15"/>
    </sheetView>
  </sheetViews>
  <sheetFormatPr defaultRowHeight="21" x14ac:dyDescent="0.2"/>
  <cols>
    <col min="1" max="1" width="3.125" style="171" customWidth="1"/>
    <col min="2" max="2" width="48.875" style="171" customWidth="1"/>
    <col min="3" max="3" width="13.625" style="193" customWidth="1"/>
    <col min="4" max="14" width="12.25" style="193" customWidth="1"/>
    <col min="15" max="15" width="15.75" style="194" customWidth="1"/>
    <col min="16" max="16384" width="9" style="171"/>
  </cols>
  <sheetData>
    <row r="1" spans="1:16" ht="20.25" customHeight="1" x14ac:dyDescent="0.2">
      <c r="A1" s="564" t="s">
        <v>157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</row>
    <row r="2" spans="1:16" ht="20.25" customHeight="1" x14ac:dyDescent="0.2">
      <c r="A2" s="564" t="s">
        <v>140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</row>
    <row r="3" spans="1:16" x14ac:dyDescent="0.2">
      <c r="A3" s="172"/>
      <c r="B3" s="172"/>
      <c r="C3" s="565" t="s">
        <v>293</v>
      </c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</row>
    <row r="4" spans="1:16" s="174" customFormat="1" ht="48" customHeight="1" x14ac:dyDescent="0.2">
      <c r="A4" s="571" t="s">
        <v>141</v>
      </c>
      <c r="B4" s="569" t="s">
        <v>142</v>
      </c>
      <c r="C4" s="573" t="s">
        <v>63</v>
      </c>
      <c r="D4" s="574"/>
      <c r="E4" s="575"/>
      <c r="F4" s="573" t="s">
        <v>193</v>
      </c>
      <c r="G4" s="574"/>
      <c r="H4" s="574"/>
      <c r="I4" s="574"/>
      <c r="J4" s="575"/>
      <c r="K4" s="573" t="s">
        <v>198</v>
      </c>
      <c r="L4" s="574"/>
      <c r="M4" s="575"/>
      <c r="N4" s="578" t="s">
        <v>199</v>
      </c>
      <c r="O4" s="576" t="s">
        <v>143</v>
      </c>
    </row>
    <row r="5" spans="1:16" s="174" customFormat="1" ht="42" x14ac:dyDescent="0.2">
      <c r="A5" s="572"/>
      <c r="B5" s="570"/>
      <c r="C5" s="173" t="s">
        <v>154</v>
      </c>
      <c r="D5" s="173" t="s">
        <v>155</v>
      </c>
      <c r="E5" s="173" t="s">
        <v>156</v>
      </c>
      <c r="F5" s="173" t="s">
        <v>190</v>
      </c>
      <c r="G5" s="173" t="s">
        <v>191</v>
      </c>
      <c r="H5" s="173" t="s">
        <v>192</v>
      </c>
      <c r="I5" s="173" t="s">
        <v>189</v>
      </c>
      <c r="J5" s="173" t="s">
        <v>194</v>
      </c>
      <c r="K5" s="173" t="s">
        <v>195</v>
      </c>
      <c r="L5" s="173" t="s">
        <v>196</v>
      </c>
      <c r="M5" s="173" t="s">
        <v>197</v>
      </c>
      <c r="N5" s="579"/>
      <c r="O5" s="577"/>
    </row>
    <row r="6" spans="1:16" x14ac:dyDescent="0.2">
      <c r="A6" s="553" t="s">
        <v>144</v>
      </c>
      <c r="B6" s="566"/>
      <c r="C6" s="175">
        <f>C7+C11</f>
        <v>70979000</v>
      </c>
      <c r="D6" s="175">
        <f t="shared" ref="D6:E6" si="0">D7+D11</f>
        <v>70979000</v>
      </c>
      <c r="E6" s="175">
        <f t="shared" si="0"/>
        <v>0</v>
      </c>
      <c r="F6" s="175"/>
      <c r="G6" s="175"/>
      <c r="H6" s="175"/>
      <c r="I6" s="175">
        <f>I7+I11</f>
        <v>0</v>
      </c>
      <c r="J6" s="175">
        <f t="shared" ref="J6:L6" si="1">J7+J11</f>
        <v>0</v>
      </c>
      <c r="K6" s="175">
        <f t="shared" si="1"/>
        <v>0</v>
      </c>
      <c r="L6" s="175">
        <f t="shared" si="1"/>
        <v>70979000</v>
      </c>
      <c r="M6" s="175"/>
      <c r="N6" s="175"/>
      <c r="O6" s="176"/>
    </row>
    <row r="7" spans="1:16" ht="90" customHeight="1" x14ac:dyDescent="0.2">
      <c r="A7" s="567" t="s">
        <v>186</v>
      </c>
      <c r="B7" s="568"/>
      <c r="C7" s="177">
        <f>C8</f>
        <v>8500000</v>
      </c>
      <c r="D7" s="177">
        <f t="shared" ref="C7:E8" si="2">D8</f>
        <v>8500000</v>
      </c>
      <c r="E7" s="177">
        <f t="shared" si="2"/>
        <v>0</v>
      </c>
      <c r="F7" s="177"/>
      <c r="G7" s="177"/>
      <c r="H7" s="177"/>
      <c r="I7" s="177">
        <f>I8</f>
        <v>0</v>
      </c>
      <c r="J7" s="177">
        <f t="shared" ref="J7:L9" si="3">J8</f>
        <v>0</v>
      </c>
      <c r="K7" s="177">
        <f t="shared" si="3"/>
        <v>0</v>
      </c>
      <c r="L7" s="177">
        <f t="shared" si="3"/>
        <v>8500000</v>
      </c>
      <c r="M7" s="177"/>
      <c r="N7" s="177"/>
      <c r="O7" s="178"/>
    </row>
    <row r="8" spans="1:16" ht="65.25" customHeight="1" x14ac:dyDescent="0.2">
      <c r="A8" s="562" t="s">
        <v>153</v>
      </c>
      <c r="B8" s="563"/>
      <c r="C8" s="179">
        <f t="shared" si="2"/>
        <v>8500000</v>
      </c>
      <c r="D8" s="179">
        <f t="shared" si="2"/>
        <v>8500000</v>
      </c>
      <c r="E8" s="179">
        <f t="shared" si="2"/>
        <v>0</v>
      </c>
      <c r="F8" s="179"/>
      <c r="G8" s="179"/>
      <c r="H8" s="179"/>
      <c r="I8" s="179">
        <f>I9</f>
        <v>0</v>
      </c>
      <c r="J8" s="179">
        <f t="shared" si="3"/>
        <v>0</v>
      </c>
      <c r="K8" s="179">
        <f t="shared" si="3"/>
        <v>0</v>
      </c>
      <c r="L8" s="179">
        <f t="shared" si="3"/>
        <v>8500000</v>
      </c>
      <c r="M8" s="179"/>
      <c r="N8" s="179"/>
      <c r="O8" s="180"/>
    </row>
    <row r="9" spans="1:16" x14ac:dyDescent="0.2">
      <c r="A9" s="555" t="s">
        <v>145</v>
      </c>
      <c r="B9" s="556"/>
      <c r="C9" s="181">
        <f>C10</f>
        <v>8500000</v>
      </c>
      <c r="D9" s="181">
        <f t="shared" ref="D9:E9" si="4">D10</f>
        <v>8500000</v>
      </c>
      <c r="E9" s="181">
        <f t="shared" si="4"/>
        <v>0</v>
      </c>
      <c r="F9" s="181"/>
      <c r="G9" s="181"/>
      <c r="H9" s="181"/>
      <c r="I9" s="181">
        <f>I10</f>
        <v>0</v>
      </c>
      <c r="J9" s="181">
        <f t="shared" si="3"/>
        <v>0</v>
      </c>
      <c r="K9" s="181">
        <f t="shared" si="3"/>
        <v>0</v>
      </c>
      <c r="L9" s="181">
        <f t="shared" si="3"/>
        <v>8500000</v>
      </c>
      <c r="M9" s="181"/>
      <c r="N9" s="181"/>
      <c r="O9" s="182"/>
    </row>
    <row r="10" spans="1:16" ht="42" x14ac:dyDescent="0.2">
      <c r="A10" s="183">
        <v>1</v>
      </c>
      <c r="B10" s="197" t="s">
        <v>148</v>
      </c>
      <c r="C10" s="195">
        <v>8500000</v>
      </c>
      <c r="D10" s="195">
        <v>8500000</v>
      </c>
      <c r="E10" s="195">
        <v>0</v>
      </c>
      <c r="F10" s="195"/>
      <c r="G10" s="195"/>
      <c r="H10" s="195"/>
      <c r="I10" s="195"/>
      <c r="J10" s="195"/>
      <c r="K10" s="195"/>
      <c r="L10" s="195">
        <f>D10-K10</f>
        <v>8500000</v>
      </c>
      <c r="M10" s="195"/>
      <c r="N10" s="195"/>
      <c r="O10" s="184" t="s">
        <v>13</v>
      </c>
    </row>
    <row r="11" spans="1:16" ht="67.5" customHeight="1" x14ac:dyDescent="0.2">
      <c r="A11" s="557" t="s">
        <v>149</v>
      </c>
      <c r="B11" s="557"/>
      <c r="C11" s="185">
        <f t="shared" ref="C11:E12" si="5">C12</f>
        <v>62479000</v>
      </c>
      <c r="D11" s="185">
        <f t="shared" si="5"/>
        <v>62479000</v>
      </c>
      <c r="E11" s="185">
        <f t="shared" si="5"/>
        <v>0</v>
      </c>
      <c r="F11" s="185"/>
      <c r="G11" s="185"/>
      <c r="H11" s="185"/>
      <c r="I11" s="185">
        <f>I12</f>
        <v>0</v>
      </c>
      <c r="J11" s="185">
        <f t="shared" ref="J11:L12" si="6">J12</f>
        <v>0</v>
      </c>
      <c r="K11" s="185">
        <f t="shared" si="6"/>
        <v>0</v>
      </c>
      <c r="L11" s="185">
        <f t="shared" si="6"/>
        <v>62479000</v>
      </c>
      <c r="M11" s="185"/>
      <c r="N11" s="185"/>
      <c r="O11" s="186"/>
    </row>
    <row r="12" spans="1:16" ht="45.75" customHeight="1" x14ac:dyDescent="0.2">
      <c r="A12" s="558" t="s">
        <v>147</v>
      </c>
      <c r="B12" s="559"/>
      <c r="C12" s="187">
        <f t="shared" si="5"/>
        <v>62479000</v>
      </c>
      <c r="D12" s="187">
        <f t="shared" si="5"/>
        <v>62479000</v>
      </c>
      <c r="E12" s="187">
        <f t="shared" si="5"/>
        <v>0</v>
      </c>
      <c r="F12" s="187"/>
      <c r="G12" s="187"/>
      <c r="H12" s="187"/>
      <c r="I12" s="187">
        <f>I13</f>
        <v>0</v>
      </c>
      <c r="J12" s="187">
        <f t="shared" si="6"/>
        <v>0</v>
      </c>
      <c r="K12" s="187">
        <f t="shared" si="6"/>
        <v>0</v>
      </c>
      <c r="L12" s="187">
        <f t="shared" si="6"/>
        <v>62479000</v>
      </c>
      <c r="M12" s="187"/>
      <c r="N12" s="187"/>
      <c r="O12" s="188"/>
    </row>
    <row r="13" spans="1:16" ht="45" customHeight="1" x14ac:dyDescent="0.2">
      <c r="A13" s="560" t="s">
        <v>150</v>
      </c>
      <c r="B13" s="561"/>
      <c r="C13" s="189">
        <f>C14+C15</f>
        <v>62479000</v>
      </c>
      <c r="D13" s="189">
        <f t="shared" ref="D13:E13" si="7">D14+D15</f>
        <v>62479000</v>
      </c>
      <c r="E13" s="189">
        <f t="shared" si="7"/>
        <v>0</v>
      </c>
      <c r="F13" s="189"/>
      <c r="G13" s="189"/>
      <c r="H13" s="189"/>
      <c r="I13" s="189">
        <f>I14+I15</f>
        <v>0</v>
      </c>
      <c r="J13" s="189">
        <f t="shared" ref="J13:L13" si="8">J14+J15</f>
        <v>0</v>
      </c>
      <c r="K13" s="189">
        <f t="shared" si="8"/>
        <v>0</v>
      </c>
      <c r="L13" s="189">
        <f t="shared" si="8"/>
        <v>62479000</v>
      </c>
      <c r="M13" s="189"/>
      <c r="N13" s="189"/>
      <c r="O13" s="190"/>
    </row>
    <row r="14" spans="1:16" ht="42" x14ac:dyDescent="0.2">
      <c r="A14" s="196">
        <v>1</v>
      </c>
      <c r="B14" s="192" t="s">
        <v>151</v>
      </c>
      <c r="C14" s="195">
        <v>37479000</v>
      </c>
      <c r="D14" s="195">
        <v>37479000</v>
      </c>
      <c r="E14" s="195">
        <v>0</v>
      </c>
      <c r="F14" s="447" t="s">
        <v>322</v>
      </c>
      <c r="G14" s="195"/>
      <c r="H14" s="195"/>
      <c r="I14" s="195"/>
      <c r="J14" s="195"/>
      <c r="K14" s="195"/>
      <c r="L14" s="195">
        <f>D14-K14</f>
        <v>37479000</v>
      </c>
      <c r="M14" s="195"/>
      <c r="N14" s="195"/>
      <c r="O14" s="191" t="s">
        <v>146</v>
      </c>
    </row>
    <row r="15" spans="1:16" ht="42" x14ac:dyDescent="0.2">
      <c r="A15" s="196">
        <v>2</v>
      </c>
      <c r="B15" s="192" t="s">
        <v>152</v>
      </c>
      <c r="C15" s="195">
        <v>25000000</v>
      </c>
      <c r="D15" s="195">
        <v>25000000</v>
      </c>
      <c r="E15" s="195">
        <v>0</v>
      </c>
      <c r="F15" s="195"/>
      <c r="G15" s="195"/>
      <c r="H15" s="195"/>
      <c r="I15" s="195"/>
      <c r="J15" s="195"/>
      <c r="K15" s="195"/>
      <c r="L15" s="195">
        <f>D15-K15</f>
        <v>25000000</v>
      </c>
      <c r="M15" s="195"/>
      <c r="N15" s="195"/>
      <c r="O15" s="191" t="s">
        <v>51</v>
      </c>
    </row>
    <row r="16" spans="1:16" ht="21" customHeight="1" x14ac:dyDescent="0.2">
      <c r="A16" s="553" t="s">
        <v>144</v>
      </c>
      <c r="B16" s="554"/>
      <c r="C16" s="175">
        <f>C6</f>
        <v>70979000</v>
      </c>
      <c r="D16" s="175">
        <f>D6</f>
        <v>70979000</v>
      </c>
      <c r="E16" s="175">
        <f t="shared" ref="E16:L16" si="9">E6</f>
        <v>0</v>
      </c>
      <c r="F16" s="175">
        <f t="shared" si="9"/>
        <v>0</v>
      </c>
      <c r="G16" s="175">
        <f t="shared" si="9"/>
        <v>0</v>
      </c>
      <c r="H16" s="175">
        <f t="shared" si="9"/>
        <v>0</v>
      </c>
      <c r="I16" s="175">
        <f t="shared" si="9"/>
        <v>0</v>
      </c>
      <c r="J16" s="175">
        <f t="shared" si="9"/>
        <v>0</v>
      </c>
      <c r="K16" s="175">
        <f t="shared" si="9"/>
        <v>0</v>
      </c>
      <c r="L16" s="175">
        <f t="shared" si="9"/>
        <v>70979000</v>
      </c>
      <c r="M16" s="175"/>
      <c r="N16" s="175"/>
      <c r="O16" s="175"/>
      <c r="P16" s="176"/>
    </row>
  </sheetData>
  <mergeCells count="18">
    <mergeCell ref="A8:B8"/>
    <mergeCell ref="A1:O1"/>
    <mergeCell ref="A2:O2"/>
    <mergeCell ref="C3:O3"/>
    <mergeCell ref="A6:B6"/>
    <mergeCell ref="A7:B7"/>
    <mergeCell ref="B4:B5"/>
    <mergeCell ref="A4:A5"/>
    <mergeCell ref="C4:E4"/>
    <mergeCell ref="F4:J4"/>
    <mergeCell ref="K4:M4"/>
    <mergeCell ref="O4:O5"/>
    <mergeCell ref="N4:N5"/>
    <mergeCell ref="A16:B16"/>
    <mergeCell ref="A9:B9"/>
    <mergeCell ref="A11:B11"/>
    <mergeCell ref="A12:B12"/>
    <mergeCell ref="A13:B13"/>
  </mergeCells>
  <pageMargins left="0.38958333333333334" right="0.17708333333333334" top="0.6117424242424242" bottom="0.630859375" header="0.31496062992125984" footer="0.31496062992125984"/>
  <pageSetup paperSize="9" scale="85" orientation="portrait" verticalDpi="0" r:id="rId1"/>
  <headerFooter>
    <oddFooter>&amp;C&amp;"TH SarabunPSK,ธรรมดา"&amp;Z&amp;F&amp;R&amp;"TH SarabunPSK,ธรรมดา"หน้าที่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abSelected="1" topLeftCell="C1" zoomScale="70" zoomScaleNormal="70" zoomScalePageLayoutView="60" workbookViewId="0">
      <pane ySplit="7" topLeftCell="A24" activePane="bottomLeft" state="frozen"/>
      <selection pane="bottomLeft" activeCell="U27" sqref="U27"/>
    </sheetView>
  </sheetViews>
  <sheetFormatPr defaultRowHeight="21" x14ac:dyDescent="0.35"/>
  <cols>
    <col min="1" max="1" width="3.5" style="139" bestFit="1" customWidth="1"/>
    <col min="2" max="2" width="47.25" style="1" customWidth="1"/>
    <col min="3" max="3" width="10.875" style="1" customWidth="1"/>
    <col min="4" max="4" width="13" style="17" bestFit="1" customWidth="1"/>
    <col min="5" max="5" width="12.25" style="134" bestFit="1" customWidth="1"/>
    <col min="6" max="6" width="12.875" style="17" bestFit="1" customWidth="1"/>
    <col min="7" max="7" width="9.375" style="17" customWidth="1"/>
    <col min="8" max="8" width="12" style="17" customWidth="1"/>
    <col min="9" max="9" width="10.625" style="17" customWidth="1"/>
    <col min="10" max="10" width="15.125" style="17" customWidth="1"/>
    <col min="11" max="11" width="13.5" style="17" customWidth="1"/>
    <col min="12" max="12" width="14.125" style="348" bestFit="1" customWidth="1"/>
    <col min="13" max="13" width="16" style="17" bestFit="1" customWidth="1"/>
    <col min="14" max="14" width="8.5" style="17" bestFit="1" customWidth="1"/>
    <col min="15" max="15" width="10.5" style="17" bestFit="1" customWidth="1"/>
    <col min="16" max="16" width="15.375" style="135" customWidth="1"/>
    <col min="17" max="17" width="14.5" style="17" hidden="1" customWidth="1"/>
    <col min="18" max="18" width="15.25" style="17" hidden="1" customWidth="1"/>
    <col min="19" max="19" width="11.875" style="18" bestFit="1" customWidth="1"/>
    <col min="20" max="20" width="14.375" style="18" bestFit="1" customWidth="1"/>
    <col min="21" max="21" width="11.25" style="18" bestFit="1" customWidth="1"/>
    <col min="22" max="16384" width="9" style="18"/>
  </cols>
  <sheetData>
    <row r="1" spans="1:20" ht="21" customHeight="1" x14ac:dyDescent="0.35">
      <c r="A1" s="536" t="s">
        <v>65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16"/>
    </row>
    <row r="2" spans="1:20" ht="21" customHeight="1" x14ac:dyDescent="0.3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325"/>
      <c r="M2" s="226"/>
      <c r="N2" s="226"/>
      <c r="O2" s="226"/>
      <c r="P2" s="226"/>
      <c r="Q2" s="16"/>
    </row>
    <row r="3" spans="1:20" x14ac:dyDescent="0.35">
      <c r="A3" s="464" t="s">
        <v>342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</row>
    <row r="4" spans="1:20" ht="21" customHeight="1" x14ac:dyDescent="0.35">
      <c r="A4" s="537" t="s">
        <v>64</v>
      </c>
      <c r="B4" s="538"/>
      <c r="C4" s="539"/>
      <c r="D4" s="580" t="s">
        <v>63</v>
      </c>
      <c r="E4" s="580"/>
      <c r="F4" s="580"/>
      <c r="G4" s="587" t="s">
        <v>193</v>
      </c>
      <c r="H4" s="588"/>
      <c r="I4" s="588"/>
      <c r="J4" s="588"/>
      <c r="K4" s="589"/>
      <c r="L4" s="580" t="s">
        <v>198</v>
      </c>
      <c r="M4" s="580"/>
      <c r="N4" s="580"/>
      <c r="O4" s="581" t="s">
        <v>199</v>
      </c>
      <c r="P4" s="461" t="s">
        <v>69</v>
      </c>
    </row>
    <row r="5" spans="1:20" ht="21" customHeight="1" x14ac:dyDescent="0.35">
      <c r="A5" s="540"/>
      <c r="B5" s="541"/>
      <c r="C5" s="542"/>
      <c r="D5" s="581" t="s">
        <v>62</v>
      </c>
      <c r="E5" s="583" t="s">
        <v>61</v>
      </c>
      <c r="F5" s="581" t="s">
        <v>60</v>
      </c>
      <c r="G5" s="585" t="s">
        <v>190</v>
      </c>
      <c r="H5" s="585" t="s">
        <v>191</v>
      </c>
      <c r="I5" s="585" t="s">
        <v>192</v>
      </c>
      <c r="J5" s="585" t="s">
        <v>189</v>
      </c>
      <c r="K5" s="585" t="s">
        <v>194</v>
      </c>
      <c r="L5" s="613" t="s">
        <v>195</v>
      </c>
      <c r="M5" s="585" t="s">
        <v>196</v>
      </c>
      <c r="N5" s="585" t="s">
        <v>197</v>
      </c>
      <c r="O5" s="612"/>
      <c r="P5" s="462"/>
    </row>
    <row r="6" spans="1:20" ht="48" customHeight="1" x14ac:dyDescent="0.35">
      <c r="A6" s="543"/>
      <c r="B6" s="544"/>
      <c r="C6" s="545"/>
      <c r="D6" s="582"/>
      <c r="E6" s="584"/>
      <c r="F6" s="582"/>
      <c r="G6" s="586"/>
      <c r="H6" s="586"/>
      <c r="I6" s="586"/>
      <c r="J6" s="586"/>
      <c r="K6" s="586"/>
      <c r="L6" s="614"/>
      <c r="M6" s="586"/>
      <c r="N6" s="586"/>
      <c r="O6" s="582"/>
      <c r="P6" s="463"/>
      <c r="T6" s="439"/>
    </row>
    <row r="7" spans="1:20" s="26" customFormat="1" x14ac:dyDescent="0.35">
      <c r="A7" s="458" t="s">
        <v>117</v>
      </c>
      <c r="B7" s="459"/>
      <c r="C7" s="460"/>
      <c r="D7" s="21">
        <f>E7+F7</f>
        <v>195006100</v>
      </c>
      <c r="E7" s="22">
        <f>E8+E52+E93+E121</f>
        <v>34732700</v>
      </c>
      <c r="F7" s="22">
        <f>F8+F52+F93+F121</f>
        <v>160273400</v>
      </c>
      <c r="G7" s="22"/>
      <c r="H7" s="22"/>
      <c r="I7" s="22"/>
      <c r="J7" s="326">
        <f t="shared" ref="J7:M7" si="0">J8+J52+J93+J121</f>
        <v>85920287.539999992</v>
      </c>
      <c r="K7" s="326">
        <f t="shared" si="0"/>
        <v>6090712.46</v>
      </c>
      <c r="L7" s="326">
        <f t="shared" si="0"/>
        <v>4444256.34</v>
      </c>
      <c r="M7" s="326">
        <f t="shared" si="0"/>
        <v>184888811.19999999</v>
      </c>
      <c r="N7" s="326">
        <f>L7*100/D7</f>
        <v>2.2790345225098085</v>
      </c>
      <c r="O7" s="22">
        <f>O8+O52+O93+O121</f>
        <v>0</v>
      </c>
      <c r="P7" s="23"/>
      <c r="Q7" s="24">
        <v>193451600</v>
      </c>
      <c r="R7" s="25">
        <f>Q7-D7</f>
        <v>-1554500</v>
      </c>
      <c r="S7" s="24"/>
      <c r="T7" s="438"/>
    </row>
    <row r="8" spans="1:20" s="30" customFormat="1" x14ac:dyDescent="0.35">
      <c r="A8" s="528" t="s">
        <v>59</v>
      </c>
      <c r="B8" s="529"/>
      <c r="C8" s="530"/>
      <c r="D8" s="136">
        <f>D10+D16+D18+D38+D48+D115</f>
        <v>140234800</v>
      </c>
      <c r="E8" s="136">
        <f t="shared" ref="E8:F8" si="1">E10+E16+E18+E38+E48+E115</f>
        <v>5774400</v>
      </c>
      <c r="F8" s="136">
        <f t="shared" si="1"/>
        <v>134460400</v>
      </c>
      <c r="G8" s="136"/>
      <c r="H8" s="136"/>
      <c r="I8" s="136"/>
      <c r="J8" s="136">
        <f>J9</f>
        <v>62150820.850000001</v>
      </c>
      <c r="K8" s="136">
        <f t="shared" ref="K8:M8" si="2">K9</f>
        <v>3506679.15</v>
      </c>
      <c r="L8" s="136">
        <f t="shared" si="2"/>
        <v>562680</v>
      </c>
      <c r="M8" s="136">
        <f t="shared" si="2"/>
        <v>136442620.84999999</v>
      </c>
      <c r="N8" s="327">
        <f>L8*100/D8</f>
        <v>0.40124134665575162</v>
      </c>
      <c r="O8" s="136">
        <f>O9</f>
        <v>0</v>
      </c>
      <c r="P8" s="28"/>
      <c r="Q8" s="29"/>
      <c r="R8" s="25">
        <f>R7</f>
        <v>-1554500</v>
      </c>
      <c r="T8" s="438"/>
    </row>
    <row r="9" spans="1:20" s="26" customFormat="1" ht="51" customHeight="1" x14ac:dyDescent="0.35">
      <c r="A9" s="595" t="s">
        <v>70</v>
      </c>
      <c r="B9" s="596"/>
      <c r="C9" s="597"/>
      <c r="D9" s="32">
        <f>E9+F9</f>
        <v>140234800</v>
      </c>
      <c r="E9" s="31">
        <f>E10+E16+E18+E38+E48</f>
        <v>5774400</v>
      </c>
      <c r="F9" s="31">
        <f>F10+F16+F18+F38+F48+F114</f>
        <v>134460400</v>
      </c>
      <c r="G9" s="31"/>
      <c r="H9" s="31"/>
      <c r="I9" s="31"/>
      <c r="J9" s="31">
        <f t="shared" ref="J9:M9" si="3">J10+J16+J18+J38+J48+J114</f>
        <v>62150820.850000001</v>
      </c>
      <c r="K9" s="31">
        <f t="shared" si="3"/>
        <v>3506679.15</v>
      </c>
      <c r="L9" s="328">
        <f t="shared" si="3"/>
        <v>562680</v>
      </c>
      <c r="M9" s="31">
        <f t="shared" si="3"/>
        <v>136442620.84999999</v>
      </c>
      <c r="N9" s="328">
        <f>L9*100/D9</f>
        <v>0.40124134665575162</v>
      </c>
      <c r="O9" s="31">
        <f>O10+O16+O18+O38+O48+O114</f>
        <v>0</v>
      </c>
      <c r="P9" s="33"/>
      <c r="Q9" s="34"/>
      <c r="R9" s="25">
        <f>R8</f>
        <v>-1554500</v>
      </c>
      <c r="T9" s="438"/>
    </row>
    <row r="10" spans="1:20" s="26" customFormat="1" x14ac:dyDescent="0.35">
      <c r="A10" s="151"/>
      <c r="B10" s="515" t="s">
        <v>58</v>
      </c>
      <c r="C10" s="516"/>
      <c r="D10" s="137">
        <f>SUM(D11:D15)</f>
        <v>2164000</v>
      </c>
      <c r="E10" s="31">
        <f>SUM(E11:E15)</f>
        <v>2164000</v>
      </c>
      <c r="F10" s="32">
        <f>SUM(F11:F15)</f>
        <v>0</v>
      </c>
      <c r="G10" s="32"/>
      <c r="H10" s="32"/>
      <c r="I10" s="32"/>
      <c r="J10" s="32">
        <f t="shared" ref="J10:M10" si="4">SUM(J11:J15)</f>
        <v>0</v>
      </c>
      <c r="K10" s="32">
        <f t="shared" si="4"/>
        <v>0</v>
      </c>
      <c r="L10" s="329">
        <f t="shared" si="4"/>
        <v>273980</v>
      </c>
      <c r="M10" s="32">
        <f t="shared" si="4"/>
        <v>2143200</v>
      </c>
      <c r="N10" s="329">
        <f t="shared" ref="N10:N15" si="5">L10*100/E10</f>
        <v>12.660813308687615</v>
      </c>
      <c r="O10" s="32">
        <f>O11+O12+O13+O14+O15</f>
        <v>0</v>
      </c>
      <c r="P10" s="35"/>
      <c r="Q10" s="34"/>
      <c r="R10" s="25">
        <f>R9</f>
        <v>-1554500</v>
      </c>
      <c r="T10" s="438"/>
    </row>
    <row r="11" spans="1:20" s="41" customFormat="1" ht="34.5" x14ac:dyDescent="0.35">
      <c r="A11" s="36">
        <v>1</v>
      </c>
      <c r="B11" s="534" t="s">
        <v>71</v>
      </c>
      <c r="C11" s="535"/>
      <c r="D11" s="37">
        <f t="shared" ref="D11:D15" si="6">E11+F11</f>
        <v>509000</v>
      </c>
      <c r="E11" s="37">
        <v>509000</v>
      </c>
      <c r="F11" s="37">
        <v>0</v>
      </c>
      <c r="G11" s="388" t="s">
        <v>271</v>
      </c>
      <c r="H11" s="37"/>
      <c r="I11" s="37"/>
      <c r="J11" s="37"/>
      <c r="K11" s="37"/>
      <c r="L11" s="330"/>
      <c r="M11" s="37">
        <f>E11-L11</f>
        <v>509000</v>
      </c>
      <c r="N11" s="37">
        <f t="shared" si="5"/>
        <v>0</v>
      </c>
      <c r="O11" s="37"/>
      <c r="P11" s="407" t="s">
        <v>66</v>
      </c>
      <c r="Q11" s="39"/>
      <c r="R11" s="40" t="e">
        <f>#REF!</f>
        <v>#REF!</v>
      </c>
      <c r="T11" s="438"/>
    </row>
    <row r="12" spans="1:20" s="45" customFormat="1" ht="34.5" x14ac:dyDescent="0.35">
      <c r="A12" s="36">
        <v>2</v>
      </c>
      <c r="B12" s="477" t="s">
        <v>72</v>
      </c>
      <c r="C12" s="478"/>
      <c r="D12" s="37">
        <f t="shared" si="6"/>
        <v>629000</v>
      </c>
      <c r="E12" s="42">
        <v>629000</v>
      </c>
      <c r="F12" s="42">
        <v>0</v>
      </c>
      <c r="G12" s="388" t="s">
        <v>271</v>
      </c>
      <c r="H12" s="42"/>
      <c r="I12" s="42"/>
      <c r="J12" s="42"/>
      <c r="K12" s="42"/>
      <c r="L12" s="331">
        <f>10800+10000</f>
        <v>20800</v>
      </c>
      <c r="M12" s="37">
        <f t="shared" ref="M12" si="7">E12-L12</f>
        <v>608200</v>
      </c>
      <c r="N12" s="330">
        <f t="shared" si="5"/>
        <v>3.3068362480127185</v>
      </c>
      <c r="O12" s="42"/>
      <c r="P12" s="199" t="s">
        <v>57</v>
      </c>
      <c r="Q12" s="44"/>
      <c r="R12" s="40" t="e">
        <f t="shared" ref="R12:R15" si="8">R11</f>
        <v>#REF!</v>
      </c>
      <c r="T12" s="438"/>
    </row>
    <row r="13" spans="1:20" s="45" customFormat="1" ht="34.5" x14ac:dyDescent="0.35">
      <c r="A13" s="36">
        <v>3</v>
      </c>
      <c r="B13" s="477" t="s">
        <v>56</v>
      </c>
      <c r="C13" s="478"/>
      <c r="D13" s="37">
        <f t="shared" si="6"/>
        <v>481000</v>
      </c>
      <c r="E13" s="42">
        <v>481000</v>
      </c>
      <c r="F13" s="42">
        <v>0</v>
      </c>
      <c r="G13" s="388" t="s">
        <v>271</v>
      </c>
      <c r="H13" s="42"/>
      <c r="I13" s="42"/>
      <c r="J13" s="42"/>
      <c r="K13" s="42"/>
      <c r="L13" s="331">
        <f>120250+12680+107570+12680</f>
        <v>253180</v>
      </c>
      <c r="M13" s="37">
        <f>E13</f>
        <v>481000</v>
      </c>
      <c r="N13" s="330">
        <f t="shared" si="5"/>
        <v>52.636174636174637</v>
      </c>
      <c r="O13" s="42"/>
      <c r="P13" s="199" t="s">
        <v>73</v>
      </c>
      <c r="Q13" s="44"/>
      <c r="R13" s="40" t="e">
        <f>#REF!</f>
        <v>#REF!</v>
      </c>
      <c r="T13" s="438"/>
    </row>
    <row r="14" spans="1:20" s="41" customFormat="1" ht="34.5" x14ac:dyDescent="0.35">
      <c r="A14" s="36">
        <v>4</v>
      </c>
      <c r="B14" s="477" t="s">
        <v>74</v>
      </c>
      <c r="C14" s="478"/>
      <c r="D14" s="37">
        <f t="shared" si="6"/>
        <v>440000</v>
      </c>
      <c r="E14" s="37">
        <v>440000</v>
      </c>
      <c r="F14" s="37">
        <v>0</v>
      </c>
      <c r="G14" s="388" t="s">
        <v>271</v>
      </c>
      <c r="H14" s="37"/>
      <c r="I14" s="37"/>
      <c r="J14" s="37"/>
      <c r="K14" s="37"/>
      <c r="L14" s="330"/>
      <c r="M14" s="37">
        <f>E14-L14</f>
        <v>440000</v>
      </c>
      <c r="N14" s="37">
        <f t="shared" si="5"/>
        <v>0</v>
      </c>
      <c r="O14" s="37"/>
      <c r="P14" s="407" t="s">
        <v>75</v>
      </c>
      <c r="Q14" s="39"/>
      <c r="R14" s="40" t="e">
        <f>#REF!</f>
        <v>#REF!</v>
      </c>
      <c r="T14" s="438"/>
    </row>
    <row r="15" spans="1:20" s="41" customFormat="1" ht="51.75" x14ac:dyDescent="0.35">
      <c r="A15" s="36">
        <v>5</v>
      </c>
      <c r="B15" s="477" t="s">
        <v>76</v>
      </c>
      <c r="C15" s="478"/>
      <c r="D15" s="37">
        <f t="shared" si="6"/>
        <v>105000</v>
      </c>
      <c r="E15" s="42">
        <v>105000</v>
      </c>
      <c r="F15" s="42">
        <v>0</v>
      </c>
      <c r="G15" s="388" t="s">
        <v>271</v>
      </c>
      <c r="H15" s="42"/>
      <c r="I15" s="42"/>
      <c r="J15" s="42"/>
      <c r="K15" s="42"/>
      <c r="L15" s="331"/>
      <c r="M15" s="37">
        <f>E15-L15</f>
        <v>105000</v>
      </c>
      <c r="N15" s="37">
        <f t="shared" si="5"/>
        <v>0</v>
      </c>
      <c r="O15" s="42"/>
      <c r="P15" s="199" t="s">
        <v>77</v>
      </c>
      <c r="Q15" s="39"/>
      <c r="R15" s="40" t="e">
        <f t="shared" si="8"/>
        <v>#REF!</v>
      </c>
      <c r="T15" s="438"/>
    </row>
    <row r="16" spans="1:20" s="51" customFormat="1" x14ac:dyDescent="0.35">
      <c r="A16" s="150"/>
      <c r="B16" s="515" t="s">
        <v>55</v>
      </c>
      <c r="C16" s="516"/>
      <c r="D16" s="46">
        <f>SUM(D17)</f>
        <v>2412000</v>
      </c>
      <c r="E16" s="47">
        <f>E17</f>
        <v>2412000</v>
      </c>
      <c r="F16" s="48">
        <f>F17</f>
        <v>0</v>
      </c>
      <c r="G16" s="48"/>
      <c r="H16" s="48"/>
      <c r="I16" s="48"/>
      <c r="J16" s="48">
        <f t="shared" ref="J16:O16" si="9">J17</f>
        <v>0</v>
      </c>
      <c r="K16" s="48">
        <f t="shared" si="9"/>
        <v>0</v>
      </c>
      <c r="L16" s="48">
        <f t="shared" si="9"/>
        <v>0</v>
      </c>
      <c r="M16" s="48">
        <f t="shared" si="9"/>
        <v>2412000</v>
      </c>
      <c r="N16" s="48">
        <f>L16/100*E16</f>
        <v>0</v>
      </c>
      <c r="O16" s="48">
        <f t="shared" si="9"/>
        <v>0</v>
      </c>
      <c r="P16" s="408"/>
      <c r="Q16" s="50"/>
      <c r="R16" s="25" t="e">
        <f>#REF!</f>
        <v>#REF!</v>
      </c>
      <c r="T16" s="438"/>
    </row>
    <row r="17" spans="1:21" s="56" customFormat="1" ht="34.5" x14ac:dyDescent="0.35">
      <c r="A17" s="52">
        <v>6</v>
      </c>
      <c r="B17" s="495" t="s">
        <v>54</v>
      </c>
      <c r="C17" s="496"/>
      <c r="D17" s="53">
        <f>E17+F17</f>
        <v>2412000</v>
      </c>
      <c r="E17" s="37">
        <v>2412000</v>
      </c>
      <c r="F17" s="53">
        <v>0</v>
      </c>
      <c r="G17" s="388" t="s">
        <v>272</v>
      </c>
      <c r="H17" s="227"/>
      <c r="I17" s="227"/>
      <c r="J17" s="227"/>
      <c r="K17" s="227"/>
      <c r="L17" s="332"/>
      <c r="M17" s="227">
        <f>E17-L17</f>
        <v>2412000</v>
      </c>
      <c r="N17" s="227">
        <f>E17-M17</f>
        <v>0</v>
      </c>
      <c r="O17" s="227"/>
      <c r="P17" s="68" t="s">
        <v>78</v>
      </c>
      <c r="Q17" s="55"/>
      <c r="R17" s="25" t="e">
        <f>#REF!</f>
        <v>#REF!</v>
      </c>
      <c r="T17" s="438"/>
    </row>
    <row r="18" spans="1:21" s="62" customFormat="1" x14ac:dyDescent="0.35">
      <c r="A18" s="57"/>
      <c r="B18" s="515" t="s">
        <v>53</v>
      </c>
      <c r="C18" s="516"/>
      <c r="D18" s="58">
        <f>SUM(D19:D37)</f>
        <v>87231400</v>
      </c>
      <c r="E18" s="59">
        <f>SUM(E19:E37)</f>
        <v>0</v>
      </c>
      <c r="F18" s="58">
        <f>SUM(F19:F37)</f>
        <v>87231400</v>
      </c>
      <c r="G18" s="58"/>
      <c r="H18" s="58"/>
      <c r="I18" s="58"/>
      <c r="J18" s="58">
        <f t="shared" ref="J18:O18" si="10">SUM(J19:J37)</f>
        <v>35242220.850000001</v>
      </c>
      <c r="K18" s="445">
        <f t="shared" si="10"/>
        <v>1596279.15</v>
      </c>
      <c r="L18" s="58">
        <f t="shared" si="10"/>
        <v>0</v>
      </c>
      <c r="M18" s="445">
        <f t="shared" si="10"/>
        <v>85635120.849999994</v>
      </c>
      <c r="N18" s="58">
        <f>L18*100/J18</f>
        <v>0</v>
      </c>
      <c r="O18" s="58">
        <f t="shared" si="10"/>
        <v>0</v>
      </c>
      <c r="P18" s="409"/>
      <c r="Q18" s="61"/>
      <c r="R18" s="25" t="e">
        <f>#REF!</f>
        <v>#REF!</v>
      </c>
      <c r="T18" s="438"/>
    </row>
    <row r="19" spans="1:21" s="56" customFormat="1" ht="51.75" x14ac:dyDescent="0.35">
      <c r="A19" s="63">
        <v>7</v>
      </c>
      <c r="B19" s="495" t="s">
        <v>79</v>
      </c>
      <c r="C19" s="496"/>
      <c r="D19" s="64">
        <v>2316000</v>
      </c>
      <c r="E19" s="65">
        <v>0</v>
      </c>
      <c r="F19" s="64">
        <f>D19</f>
        <v>2316000</v>
      </c>
      <c r="G19" s="389" t="s">
        <v>331</v>
      </c>
      <c r="H19" s="64"/>
      <c r="I19" s="64"/>
      <c r="J19" s="64"/>
      <c r="K19" s="64">
        <v>0</v>
      </c>
      <c r="L19" s="333"/>
      <c r="M19" s="64">
        <f>F19-O19</f>
        <v>2316000</v>
      </c>
      <c r="N19" s="425" t="e">
        <f>L19*100/J19</f>
        <v>#DIV/0!</v>
      </c>
      <c r="O19" s="64"/>
      <c r="P19" s="66" t="s">
        <v>159</v>
      </c>
      <c r="Q19" s="55"/>
      <c r="R19" s="25" t="e">
        <f>#REF!</f>
        <v>#REF!</v>
      </c>
      <c r="T19" s="438"/>
    </row>
    <row r="20" spans="1:21" s="56" customFormat="1" ht="51.75" x14ac:dyDescent="0.35">
      <c r="A20" s="67">
        <v>8</v>
      </c>
      <c r="B20" s="495" t="s">
        <v>116</v>
      </c>
      <c r="C20" s="496"/>
      <c r="D20" s="64">
        <f>E20+F20</f>
        <v>2640000</v>
      </c>
      <c r="E20" s="65">
        <v>0</v>
      </c>
      <c r="F20" s="64">
        <v>2640000</v>
      </c>
      <c r="G20" s="390" t="s">
        <v>273</v>
      </c>
      <c r="H20" s="64"/>
      <c r="I20" s="64"/>
      <c r="J20" s="64"/>
      <c r="K20" s="64">
        <v>0</v>
      </c>
      <c r="L20" s="333"/>
      <c r="M20" s="64">
        <f>F20-L20</f>
        <v>2640000</v>
      </c>
      <c r="N20" s="425" t="e">
        <f t="shared" ref="N20:N37" si="11">L20*100/J20</f>
        <v>#DIV/0!</v>
      </c>
      <c r="O20" s="64"/>
      <c r="P20" s="66" t="s">
        <v>80</v>
      </c>
      <c r="Q20" s="55"/>
      <c r="R20" s="25" t="e">
        <f t="shared" ref="R20:R76" si="12">R19</f>
        <v>#REF!</v>
      </c>
      <c r="T20" s="438"/>
    </row>
    <row r="21" spans="1:21" s="56" customFormat="1" ht="51.75" x14ac:dyDescent="0.35">
      <c r="A21" s="63">
        <v>9</v>
      </c>
      <c r="B21" s="495" t="s">
        <v>67</v>
      </c>
      <c r="C21" s="496"/>
      <c r="D21" s="64">
        <f>E21+F21</f>
        <v>2500000</v>
      </c>
      <c r="E21" s="65">
        <v>0</v>
      </c>
      <c r="F21" s="64">
        <v>2500000</v>
      </c>
      <c r="G21" s="387" t="s">
        <v>318</v>
      </c>
      <c r="H21" s="393" t="s">
        <v>270</v>
      </c>
      <c r="I21" s="393" t="s">
        <v>269</v>
      </c>
      <c r="J21" s="64">
        <v>2200000</v>
      </c>
      <c r="K21" s="64">
        <f>F21-J21</f>
        <v>300000</v>
      </c>
      <c r="L21" s="333"/>
      <c r="M21" s="64">
        <f t="shared" ref="M21:M37" si="13">J21-L21</f>
        <v>2200000</v>
      </c>
      <c r="N21" s="64">
        <f t="shared" si="11"/>
        <v>0</v>
      </c>
      <c r="O21" s="64"/>
      <c r="P21" s="66" t="s">
        <v>80</v>
      </c>
      <c r="Q21" s="55"/>
      <c r="R21" s="25" t="e">
        <f t="shared" si="12"/>
        <v>#REF!</v>
      </c>
      <c r="T21" s="438"/>
    </row>
    <row r="22" spans="1:21" s="56" customFormat="1" ht="73.5" customHeight="1" x14ac:dyDescent="0.35">
      <c r="A22" s="67">
        <v>10</v>
      </c>
      <c r="B22" s="495" t="s">
        <v>139</v>
      </c>
      <c r="C22" s="496"/>
      <c r="D22" s="64">
        <v>14000000</v>
      </c>
      <c r="E22" s="65">
        <v>0</v>
      </c>
      <c r="F22" s="64">
        <f>D22</f>
        <v>14000000</v>
      </c>
      <c r="G22" s="391" t="s">
        <v>320</v>
      </c>
      <c r="H22" s="64"/>
      <c r="I22" s="393" t="s">
        <v>302</v>
      </c>
      <c r="J22" s="333">
        <v>13978267.41</v>
      </c>
      <c r="K22" s="333">
        <f>F22-J22</f>
        <v>21732.589999999851</v>
      </c>
      <c r="L22" s="333"/>
      <c r="M22" s="333">
        <f>J22-L22</f>
        <v>13978267.41</v>
      </c>
      <c r="N22" s="425">
        <f t="shared" si="11"/>
        <v>0</v>
      </c>
      <c r="O22" s="64"/>
      <c r="P22" s="66" t="s">
        <v>165</v>
      </c>
      <c r="Q22" s="55"/>
      <c r="R22" s="25" t="e">
        <f t="shared" si="12"/>
        <v>#REF!</v>
      </c>
      <c r="T22" s="438"/>
    </row>
    <row r="23" spans="1:21" s="56" customFormat="1" ht="71.25" customHeight="1" x14ac:dyDescent="0.35">
      <c r="A23" s="63">
        <v>11</v>
      </c>
      <c r="B23" s="495" t="s">
        <v>81</v>
      </c>
      <c r="C23" s="496"/>
      <c r="D23" s="64">
        <f>E23+F23</f>
        <v>2400000</v>
      </c>
      <c r="E23" s="65">
        <v>0</v>
      </c>
      <c r="F23" s="64">
        <v>2400000</v>
      </c>
      <c r="G23" s="390" t="s">
        <v>273</v>
      </c>
      <c r="H23" s="64"/>
      <c r="I23" s="393" t="s">
        <v>319</v>
      </c>
      <c r="J23" s="64">
        <v>2130000</v>
      </c>
      <c r="K23" s="64">
        <f>F23-J23</f>
        <v>270000</v>
      </c>
      <c r="L23" s="333"/>
      <c r="M23" s="64">
        <f>J23-L23</f>
        <v>2130000</v>
      </c>
      <c r="N23" s="425">
        <f t="shared" si="11"/>
        <v>0</v>
      </c>
      <c r="O23" s="64"/>
      <c r="P23" s="66" t="s">
        <v>165</v>
      </c>
      <c r="Q23" s="55"/>
      <c r="R23" s="25" t="e">
        <f t="shared" si="12"/>
        <v>#REF!</v>
      </c>
      <c r="T23" s="438"/>
    </row>
    <row r="24" spans="1:21" s="56" customFormat="1" ht="51.75" x14ac:dyDescent="0.35">
      <c r="A24" s="67">
        <v>12</v>
      </c>
      <c r="B24" s="610" t="s">
        <v>82</v>
      </c>
      <c r="C24" s="611"/>
      <c r="D24" s="64">
        <f>E24+F24</f>
        <v>1850000</v>
      </c>
      <c r="E24" s="65">
        <v>0</v>
      </c>
      <c r="F24" s="64">
        <v>1850000</v>
      </c>
      <c r="G24" s="389" t="s">
        <v>313</v>
      </c>
      <c r="H24" s="393" t="s">
        <v>317</v>
      </c>
      <c r="I24" s="403" t="s">
        <v>295</v>
      </c>
      <c r="J24" s="75">
        <v>1844630</v>
      </c>
      <c r="K24" s="64">
        <f>F24-J24</f>
        <v>5370</v>
      </c>
      <c r="L24" s="334"/>
      <c r="M24" s="64">
        <f>J24-L24</f>
        <v>1844630</v>
      </c>
      <c r="N24" s="425">
        <f t="shared" si="11"/>
        <v>0</v>
      </c>
      <c r="O24" s="75"/>
      <c r="P24" s="68" t="s">
        <v>83</v>
      </c>
      <c r="Q24" s="55"/>
      <c r="R24" s="25" t="e">
        <f t="shared" si="12"/>
        <v>#REF!</v>
      </c>
      <c r="T24" s="438"/>
    </row>
    <row r="25" spans="1:21" s="56" customFormat="1" ht="79.5" customHeight="1" x14ac:dyDescent="0.35">
      <c r="A25" s="63">
        <v>13</v>
      </c>
      <c r="B25" s="610" t="s">
        <v>187</v>
      </c>
      <c r="C25" s="611"/>
      <c r="D25" s="64">
        <v>992000</v>
      </c>
      <c r="E25" s="65">
        <v>0</v>
      </c>
      <c r="F25" s="64">
        <f>D25</f>
        <v>992000</v>
      </c>
      <c r="G25" s="390" t="s">
        <v>285</v>
      </c>
      <c r="H25" s="75"/>
      <c r="I25" s="75"/>
      <c r="J25" s="75"/>
      <c r="K25" s="64"/>
      <c r="L25" s="334"/>
      <c r="M25" s="64">
        <f t="shared" ref="M25:M30" si="14">F25-L25</f>
        <v>992000</v>
      </c>
      <c r="N25" s="425" t="e">
        <f t="shared" si="11"/>
        <v>#DIV/0!</v>
      </c>
      <c r="O25" s="75"/>
      <c r="P25" s="68" t="s">
        <v>84</v>
      </c>
      <c r="Q25" s="55"/>
      <c r="R25" s="25" t="e">
        <f t="shared" si="12"/>
        <v>#REF!</v>
      </c>
      <c r="T25" s="438"/>
    </row>
    <row r="26" spans="1:21" s="56" customFormat="1" ht="69" customHeight="1" x14ac:dyDescent="0.35">
      <c r="A26" s="67">
        <v>14</v>
      </c>
      <c r="B26" s="610" t="s">
        <v>294</v>
      </c>
      <c r="C26" s="611"/>
      <c r="D26" s="64">
        <f>E26+F26</f>
        <v>34625600</v>
      </c>
      <c r="E26" s="65">
        <v>0</v>
      </c>
      <c r="F26" s="64">
        <v>34625600</v>
      </c>
      <c r="G26" s="390" t="s">
        <v>273</v>
      </c>
      <c r="H26" s="75"/>
      <c r="I26" s="75"/>
      <c r="J26" s="75"/>
      <c r="K26" s="64"/>
      <c r="L26" s="334"/>
      <c r="M26" s="64">
        <f t="shared" si="14"/>
        <v>34625600</v>
      </c>
      <c r="N26" s="425" t="e">
        <f t="shared" si="11"/>
        <v>#DIV/0!</v>
      </c>
      <c r="O26" s="75"/>
      <c r="P26" s="68" t="s">
        <v>158</v>
      </c>
      <c r="Q26" s="55"/>
      <c r="R26" s="25" t="e">
        <f t="shared" si="12"/>
        <v>#REF!</v>
      </c>
      <c r="T26" s="438">
        <f>L10+L16+L48+L55+L57+L63+L73+L83+L85+L91+L95+L97+L121</f>
        <v>3575256.3400000003</v>
      </c>
      <c r="U26" s="456">
        <f>T26*100/E7</f>
        <v>10.293632052791752</v>
      </c>
    </row>
    <row r="27" spans="1:21" s="56" customFormat="1" ht="44.25" customHeight="1" x14ac:dyDescent="0.35">
      <c r="A27" s="63">
        <v>15</v>
      </c>
      <c r="B27" s="610" t="s">
        <v>134</v>
      </c>
      <c r="C27" s="611"/>
      <c r="D27" s="64">
        <f>E27+F27</f>
        <v>2054900</v>
      </c>
      <c r="E27" s="65">
        <v>0</v>
      </c>
      <c r="F27" s="64">
        <v>2054900</v>
      </c>
      <c r="G27" s="392" t="s">
        <v>274</v>
      </c>
      <c r="H27" s="64"/>
      <c r="I27" s="64"/>
      <c r="J27" s="64"/>
      <c r="K27" s="64"/>
      <c r="L27" s="333"/>
      <c r="M27" s="64">
        <f>F27-L27-O27</f>
        <v>2054900</v>
      </c>
      <c r="N27" s="425" t="e">
        <f t="shared" si="11"/>
        <v>#DIV/0!</v>
      </c>
      <c r="O27" s="64"/>
      <c r="P27" s="66" t="s">
        <v>164</v>
      </c>
      <c r="Q27" s="55"/>
      <c r="R27" s="25" t="e">
        <f t="shared" si="12"/>
        <v>#REF!</v>
      </c>
      <c r="T27" s="438">
        <f>L18+L38+L58+L64+L74+L117</f>
        <v>869000</v>
      </c>
      <c r="U27" s="456">
        <f>T27*100/F7</f>
        <v>0.54219851828188581</v>
      </c>
    </row>
    <row r="28" spans="1:21" s="56" customFormat="1" ht="69" x14ac:dyDescent="0.35">
      <c r="A28" s="67">
        <v>16</v>
      </c>
      <c r="B28" s="610" t="s">
        <v>277</v>
      </c>
      <c r="C28" s="611"/>
      <c r="D28" s="69">
        <v>2116700</v>
      </c>
      <c r="E28" s="65">
        <v>0</v>
      </c>
      <c r="F28" s="69">
        <f>D28</f>
        <v>2116700</v>
      </c>
      <c r="G28" s="392" t="s">
        <v>343</v>
      </c>
      <c r="H28" s="69"/>
      <c r="I28" s="69"/>
      <c r="J28" s="69"/>
      <c r="K28" s="64"/>
      <c r="L28" s="335"/>
      <c r="M28" s="64">
        <f t="shared" si="14"/>
        <v>2116700</v>
      </c>
      <c r="N28" s="425" t="e">
        <f t="shared" si="11"/>
        <v>#DIV/0!</v>
      </c>
      <c r="O28" s="69"/>
      <c r="P28" s="66" t="s">
        <v>164</v>
      </c>
      <c r="Q28" s="55"/>
      <c r="R28" s="25" t="e">
        <f>#REF!</f>
        <v>#REF!</v>
      </c>
      <c r="T28" s="438">
        <f>T26+T27</f>
        <v>4444256.34</v>
      </c>
    </row>
    <row r="29" spans="1:21" s="56" customFormat="1" ht="51.75" x14ac:dyDescent="0.35">
      <c r="A29" s="63">
        <v>17</v>
      </c>
      <c r="B29" s="610" t="s">
        <v>86</v>
      </c>
      <c r="C29" s="611"/>
      <c r="D29" s="64">
        <f>E29+F29</f>
        <v>1200000</v>
      </c>
      <c r="E29" s="65">
        <v>0</v>
      </c>
      <c r="F29" s="64">
        <v>1200000</v>
      </c>
      <c r="G29" s="392" t="s">
        <v>300</v>
      </c>
      <c r="H29" s="64"/>
      <c r="I29" s="393" t="s">
        <v>323</v>
      </c>
      <c r="J29" s="64">
        <v>790000</v>
      </c>
      <c r="K29" s="64">
        <f>F29-J29</f>
        <v>410000</v>
      </c>
      <c r="L29" s="333"/>
      <c r="M29" s="64">
        <f>J29-L29</f>
        <v>790000</v>
      </c>
      <c r="N29" s="425">
        <f t="shared" si="11"/>
        <v>0</v>
      </c>
      <c r="O29" s="64"/>
      <c r="P29" s="66" t="s">
        <v>164</v>
      </c>
      <c r="Q29" s="55"/>
      <c r="R29" s="25" t="e">
        <f t="shared" si="12"/>
        <v>#REF!</v>
      </c>
      <c r="T29" s="438"/>
    </row>
    <row r="30" spans="1:21" s="56" customFormat="1" ht="99" customHeight="1" x14ac:dyDescent="0.35">
      <c r="A30" s="67">
        <v>18</v>
      </c>
      <c r="B30" s="610" t="s">
        <v>132</v>
      </c>
      <c r="C30" s="611"/>
      <c r="D30" s="64">
        <v>2800000</v>
      </c>
      <c r="E30" s="65">
        <v>0</v>
      </c>
      <c r="F30" s="64">
        <f t="shared" ref="F30:F37" si="15">D30</f>
        <v>2800000</v>
      </c>
      <c r="G30" s="390" t="s">
        <v>275</v>
      </c>
      <c r="H30" s="75"/>
      <c r="I30" s="75"/>
      <c r="J30" s="75"/>
      <c r="K30" s="64"/>
      <c r="L30" s="334"/>
      <c r="M30" s="64">
        <f t="shared" si="14"/>
        <v>2800000</v>
      </c>
      <c r="N30" s="425" t="e">
        <f t="shared" si="11"/>
        <v>#DIV/0!</v>
      </c>
      <c r="O30" s="75"/>
      <c r="P30" s="68" t="s">
        <v>164</v>
      </c>
      <c r="Q30" s="55"/>
      <c r="R30" s="25" t="e">
        <f t="shared" si="12"/>
        <v>#REF!</v>
      </c>
      <c r="T30" s="438"/>
    </row>
    <row r="31" spans="1:21" s="56" customFormat="1" ht="65.25" customHeight="1" x14ac:dyDescent="0.35">
      <c r="A31" s="63">
        <v>19</v>
      </c>
      <c r="B31" s="610" t="s">
        <v>166</v>
      </c>
      <c r="C31" s="611"/>
      <c r="D31" s="69">
        <v>2782000</v>
      </c>
      <c r="E31" s="65">
        <v>0</v>
      </c>
      <c r="F31" s="69">
        <f t="shared" si="15"/>
        <v>2782000</v>
      </c>
      <c r="G31" s="389" t="s">
        <v>336</v>
      </c>
      <c r="H31" s="396" t="s">
        <v>282</v>
      </c>
      <c r="I31" s="393" t="s">
        <v>283</v>
      </c>
      <c r="J31" s="394">
        <v>2330000</v>
      </c>
      <c r="K31" s="64">
        <f>F31-J31</f>
        <v>452000</v>
      </c>
      <c r="L31" s="335"/>
      <c r="M31" s="64">
        <f>J31-L31</f>
        <v>2330000</v>
      </c>
      <c r="N31" s="64">
        <f t="shared" si="11"/>
        <v>0</v>
      </c>
      <c r="O31" s="69"/>
      <c r="P31" s="66" t="s">
        <v>87</v>
      </c>
      <c r="Q31" s="55"/>
      <c r="R31" s="25" t="e">
        <f>#REF!</f>
        <v>#REF!</v>
      </c>
      <c r="T31" s="438"/>
    </row>
    <row r="32" spans="1:21" s="56" customFormat="1" ht="51.75" x14ac:dyDescent="0.35">
      <c r="A32" s="67">
        <v>20</v>
      </c>
      <c r="B32" s="610" t="s">
        <v>135</v>
      </c>
      <c r="C32" s="611"/>
      <c r="D32" s="69">
        <v>1365000</v>
      </c>
      <c r="E32" s="65">
        <v>0</v>
      </c>
      <c r="F32" s="69">
        <f t="shared" si="15"/>
        <v>1365000</v>
      </c>
      <c r="G32" s="390" t="s">
        <v>273</v>
      </c>
      <c r="H32" s="69"/>
      <c r="I32" s="69"/>
      <c r="J32" s="69"/>
      <c r="K32" s="64"/>
      <c r="L32" s="335"/>
      <c r="M32" s="64">
        <f>F32-L32</f>
        <v>1365000</v>
      </c>
      <c r="N32" s="425" t="e">
        <f t="shared" si="11"/>
        <v>#DIV/0!</v>
      </c>
      <c r="O32" s="69"/>
      <c r="P32" s="66" t="s">
        <v>87</v>
      </c>
      <c r="Q32" s="55"/>
      <c r="R32" s="25" t="e">
        <f t="shared" si="12"/>
        <v>#REF!</v>
      </c>
      <c r="T32" s="438"/>
    </row>
    <row r="33" spans="1:20" s="56" customFormat="1" ht="59.25" customHeight="1" x14ac:dyDescent="0.35">
      <c r="A33" s="63">
        <v>21</v>
      </c>
      <c r="B33" s="495" t="s">
        <v>136</v>
      </c>
      <c r="C33" s="496"/>
      <c r="D33" s="153">
        <v>7328000</v>
      </c>
      <c r="E33" s="205">
        <v>0</v>
      </c>
      <c r="F33" s="153">
        <f t="shared" si="15"/>
        <v>7328000</v>
      </c>
      <c r="G33" s="390" t="s">
        <v>336</v>
      </c>
      <c r="H33" s="455" t="s">
        <v>334</v>
      </c>
      <c r="I33" s="449" t="s">
        <v>335</v>
      </c>
      <c r="J33" s="449">
        <v>7328000</v>
      </c>
      <c r="K33" s="64">
        <f>F33-J33</f>
        <v>0</v>
      </c>
      <c r="L33" s="336"/>
      <c r="M33" s="64">
        <f>J33-L33</f>
        <v>7328000</v>
      </c>
      <c r="N33" s="425">
        <f t="shared" si="11"/>
        <v>0</v>
      </c>
      <c r="O33" s="153"/>
      <c r="P33" s="66" t="s">
        <v>162</v>
      </c>
      <c r="Q33" s="55"/>
      <c r="R33" s="25" t="e">
        <f>#REF!</f>
        <v>#REF!</v>
      </c>
      <c r="T33" s="438"/>
    </row>
    <row r="34" spans="1:20" s="56" customFormat="1" ht="51" customHeight="1" x14ac:dyDescent="0.35">
      <c r="A34" s="67">
        <v>22</v>
      </c>
      <c r="B34" s="495" t="s">
        <v>174</v>
      </c>
      <c r="C34" s="503"/>
      <c r="D34" s="207"/>
      <c r="E34" s="210" t="s">
        <v>175</v>
      </c>
      <c r="F34" s="208"/>
      <c r="G34" s="208"/>
      <c r="H34" s="208"/>
      <c r="I34" s="208"/>
      <c r="J34" s="208"/>
      <c r="K34" s="64">
        <f>F34-J34</f>
        <v>0</v>
      </c>
      <c r="L34" s="337"/>
      <c r="M34" s="64">
        <f t="shared" ref="M34" si="16">F34-L34</f>
        <v>0</v>
      </c>
      <c r="N34" s="425" t="e">
        <f t="shared" si="11"/>
        <v>#DIV/0!</v>
      </c>
      <c r="O34" s="208"/>
      <c r="P34" s="204" t="s">
        <v>162</v>
      </c>
      <c r="Q34" s="55"/>
      <c r="R34" s="25" t="e">
        <f t="shared" si="12"/>
        <v>#REF!</v>
      </c>
      <c r="T34" s="438"/>
    </row>
    <row r="35" spans="1:20" s="56" customFormat="1" ht="71.25" customHeight="1" x14ac:dyDescent="0.35">
      <c r="A35" s="63">
        <v>23</v>
      </c>
      <c r="B35" s="610" t="s">
        <v>292</v>
      </c>
      <c r="C35" s="611"/>
      <c r="D35" s="127">
        <v>1482700</v>
      </c>
      <c r="E35" s="206">
        <v>0</v>
      </c>
      <c r="F35" s="127">
        <f t="shared" si="15"/>
        <v>1482700</v>
      </c>
      <c r="G35" s="392" t="s">
        <v>274</v>
      </c>
      <c r="H35" s="127"/>
      <c r="I35" s="127"/>
      <c r="J35" s="127"/>
      <c r="K35" s="64"/>
      <c r="L35" s="338"/>
      <c r="M35" s="64">
        <f>F35-L35-O35</f>
        <v>1482700</v>
      </c>
      <c r="N35" s="425" t="e">
        <f t="shared" si="11"/>
        <v>#DIV/0!</v>
      </c>
      <c r="O35" s="127"/>
      <c r="P35" s="66" t="s">
        <v>161</v>
      </c>
      <c r="Q35" s="55"/>
      <c r="R35" s="25" t="e">
        <f>#REF!</f>
        <v>#REF!</v>
      </c>
      <c r="T35" s="438"/>
    </row>
    <row r="36" spans="1:20" s="56" customFormat="1" ht="74.25" customHeight="1" x14ac:dyDescent="0.35">
      <c r="A36" s="67">
        <v>24</v>
      </c>
      <c r="B36" s="495" t="s">
        <v>138</v>
      </c>
      <c r="C36" s="496"/>
      <c r="D36" s="69">
        <v>3378500</v>
      </c>
      <c r="E36" s="65">
        <v>0</v>
      </c>
      <c r="F36" s="69">
        <f t="shared" si="15"/>
        <v>3378500</v>
      </c>
      <c r="G36" s="448" t="s">
        <v>337</v>
      </c>
      <c r="H36" s="396" t="s">
        <v>278</v>
      </c>
      <c r="I36" s="393" t="s">
        <v>279</v>
      </c>
      <c r="J36" s="394">
        <v>3328123.44</v>
      </c>
      <c r="K36" s="64">
        <f>F36-J36</f>
        <v>50376.560000000056</v>
      </c>
      <c r="L36" s="335"/>
      <c r="M36" s="333">
        <f t="shared" si="13"/>
        <v>3328123.44</v>
      </c>
      <c r="N36" s="64">
        <f t="shared" si="11"/>
        <v>0</v>
      </c>
      <c r="O36" s="69"/>
      <c r="P36" s="66" t="s">
        <v>160</v>
      </c>
      <c r="Q36" s="55"/>
      <c r="R36" s="25" t="e">
        <f>#REF!</f>
        <v>#REF!</v>
      </c>
      <c r="T36" s="438"/>
    </row>
    <row r="37" spans="1:20" s="56" customFormat="1" ht="69" x14ac:dyDescent="0.35">
      <c r="A37" s="63">
        <v>25</v>
      </c>
      <c r="B37" s="608" t="s">
        <v>88</v>
      </c>
      <c r="C37" s="609"/>
      <c r="D37" s="64">
        <v>1400000</v>
      </c>
      <c r="E37" s="65">
        <v>0</v>
      </c>
      <c r="F37" s="64">
        <f t="shared" si="15"/>
        <v>1400000</v>
      </c>
      <c r="G37" s="387" t="s">
        <v>338</v>
      </c>
      <c r="H37" s="393" t="s">
        <v>280</v>
      </c>
      <c r="I37" s="393" t="s">
        <v>281</v>
      </c>
      <c r="J37" s="395">
        <v>1313200</v>
      </c>
      <c r="K37" s="64">
        <f>F37-J37</f>
        <v>86800</v>
      </c>
      <c r="L37" s="333"/>
      <c r="M37" s="64">
        <f t="shared" si="13"/>
        <v>1313200</v>
      </c>
      <c r="N37" s="64">
        <f t="shared" si="11"/>
        <v>0</v>
      </c>
      <c r="O37" s="64"/>
      <c r="P37" s="71" t="s">
        <v>52</v>
      </c>
      <c r="Q37" s="55"/>
      <c r="R37" s="25" t="e">
        <f>#REF!</f>
        <v>#REF!</v>
      </c>
      <c r="T37" s="438"/>
    </row>
    <row r="38" spans="1:20" s="62" customFormat="1" x14ac:dyDescent="0.35">
      <c r="A38" s="57"/>
      <c r="B38" s="515" t="s">
        <v>89</v>
      </c>
      <c r="C38" s="516"/>
      <c r="D38" s="72">
        <f>SUM(D39:D47)-D41-D42</f>
        <v>37245000</v>
      </c>
      <c r="E38" s="72">
        <f t="shared" ref="E38:O38" si="17">SUM(E39:E47)-E41-E42</f>
        <v>0</v>
      </c>
      <c r="F38" s="72">
        <f t="shared" si="17"/>
        <v>37245000</v>
      </c>
      <c r="G38" s="72"/>
      <c r="H38" s="72"/>
      <c r="I38" s="72"/>
      <c r="J38" s="72">
        <f>J39+J40+J43+J44+J45+J46+J47</f>
        <v>22173600</v>
      </c>
      <c r="K38" s="72">
        <f t="shared" ref="K38:L38" si="18">K39+K40+K43+K44+K45+K46+K47</f>
        <v>1886400</v>
      </c>
      <c r="L38" s="72">
        <f t="shared" si="18"/>
        <v>0</v>
      </c>
      <c r="M38" s="72">
        <f>M39+M40+M43+M44+M45+M46+M47</f>
        <v>35358600</v>
      </c>
      <c r="N38" s="72"/>
      <c r="O38" s="72">
        <f t="shared" si="17"/>
        <v>0</v>
      </c>
      <c r="P38" s="410"/>
      <c r="Q38" s="61"/>
      <c r="R38" s="25" t="e">
        <f t="shared" si="12"/>
        <v>#REF!</v>
      </c>
      <c r="T38" s="438"/>
    </row>
    <row r="39" spans="1:20" s="56" customFormat="1" ht="69" x14ac:dyDescent="0.35">
      <c r="A39" s="4">
        <v>26</v>
      </c>
      <c r="B39" s="495" t="s">
        <v>90</v>
      </c>
      <c r="C39" s="496"/>
      <c r="D39" s="69">
        <v>6579000</v>
      </c>
      <c r="E39" s="74">
        <v>0</v>
      </c>
      <c r="F39" s="69">
        <f>D39</f>
        <v>6579000</v>
      </c>
      <c r="G39" s="389" t="s">
        <v>285</v>
      </c>
      <c r="H39" s="69"/>
      <c r="I39" s="69"/>
      <c r="J39" s="69"/>
      <c r="K39" s="69"/>
      <c r="L39" s="335"/>
      <c r="M39" s="69">
        <f>F39-L39</f>
        <v>6579000</v>
      </c>
      <c r="N39" s="69"/>
      <c r="O39" s="69"/>
      <c r="P39" s="66" t="s">
        <v>291</v>
      </c>
      <c r="Q39" s="55"/>
      <c r="R39" s="25" t="e">
        <f>#REF!</f>
        <v>#REF!</v>
      </c>
      <c r="T39" s="438"/>
    </row>
    <row r="40" spans="1:20" s="56" customFormat="1" ht="45.75" customHeight="1" x14ac:dyDescent="0.35">
      <c r="A40" s="14"/>
      <c r="B40" s="518" t="s">
        <v>131</v>
      </c>
      <c r="C40" s="519"/>
      <c r="D40" s="153">
        <f>E40+F40</f>
        <v>5256000</v>
      </c>
      <c r="E40" s="156">
        <v>0</v>
      </c>
      <c r="F40" s="154">
        <f>F41+F42</f>
        <v>5256000</v>
      </c>
      <c r="G40" s="397" t="s">
        <v>284</v>
      </c>
      <c r="H40" s="154"/>
      <c r="I40" s="154"/>
      <c r="J40" s="154">
        <f>J41+J42</f>
        <v>0</v>
      </c>
      <c r="K40" s="154"/>
      <c r="L40" s="339">
        <f>L41+L42</f>
        <v>0</v>
      </c>
      <c r="M40" s="69">
        <f>M41+M42</f>
        <v>5256000</v>
      </c>
      <c r="N40" s="154"/>
      <c r="O40" s="154"/>
      <c r="P40" s="155" t="s">
        <v>159</v>
      </c>
      <c r="Q40" s="55"/>
      <c r="R40" s="25" t="e">
        <f t="shared" si="12"/>
        <v>#REF!</v>
      </c>
      <c r="T40" s="438"/>
    </row>
    <row r="41" spans="1:20" s="56" customFormat="1" ht="43.5" customHeight="1" x14ac:dyDescent="0.35">
      <c r="A41" s="362">
        <v>27</v>
      </c>
      <c r="B41" s="598" t="s">
        <v>130</v>
      </c>
      <c r="C41" s="599"/>
      <c r="D41" s="363">
        <f>E41+F41</f>
        <v>4776000</v>
      </c>
      <c r="E41" s="364">
        <v>0</v>
      </c>
      <c r="F41" s="365">
        <f>1592000*3</f>
        <v>4776000</v>
      </c>
      <c r="G41" s="365"/>
      <c r="H41" s="365"/>
      <c r="I41" s="365"/>
      <c r="J41" s="365"/>
      <c r="K41" s="365"/>
      <c r="L41" s="366"/>
      <c r="M41" s="69">
        <f t="shared" ref="M41:M43" si="19">F41-L41</f>
        <v>4776000</v>
      </c>
      <c r="N41" s="365"/>
      <c r="O41" s="365"/>
      <c r="P41" s="411"/>
      <c r="Q41" s="55"/>
      <c r="R41" s="25"/>
      <c r="T41" s="438"/>
    </row>
    <row r="42" spans="1:20" s="56" customFormat="1" x14ac:dyDescent="0.35">
      <c r="A42" s="367">
        <v>28</v>
      </c>
      <c r="B42" s="600" t="s">
        <v>129</v>
      </c>
      <c r="C42" s="601"/>
      <c r="D42" s="368">
        <f>E42+F42</f>
        <v>480000</v>
      </c>
      <c r="E42" s="76">
        <v>0</v>
      </c>
      <c r="F42" s="127">
        <v>480000</v>
      </c>
      <c r="G42" s="127"/>
      <c r="H42" s="127"/>
      <c r="I42" s="127"/>
      <c r="J42" s="127"/>
      <c r="K42" s="365"/>
      <c r="L42" s="338"/>
      <c r="M42" s="69">
        <f t="shared" si="19"/>
        <v>480000</v>
      </c>
      <c r="N42" s="127"/>
      <c r="O42" s="127"/>
      <c r="P42" s="68"/>
      <c r="Q42" s="55"/>
      <c r="R42" s="25"/>
      <c r="T42" s="438"/>
    </row>
    <row r="43" spans="1:20" s="56" customFormat="1" ht="69" x14ac:dyDescent="0.35">
      <c r="A43" s="63">
        <v>29</v>
      </c>
      <c r="B43" s="495" t="s">
        <v>128</v>
      </c>
      <c r="C43" s="496"/>
      <c r="D43" s="69">
        <v>1350000</v>
      </c>
      <c r="E43" s="74">
        <v>0</v>
      </c>
      <c r="F43" s="69">
        <f>D43</f>
        <v>1350000</v>
      </c>
      <c r="G43" s="389" t="s">
        <v>332</v>
      </c>
      <c r="H43" s="69"/>
      <c r="I43" s="69"/>
      <c r="J43" s="69"/>
      <c r="K43" s="69"/>
      <c r="L43" s="335"/>
      <c r="M43" s="69">
        <f t="shared" si="19"/>
        <v>1350000</v>
      </c>
      <c r="N43" s="69"/>
      <c r="O43" s="69"/>
      <c r="P43" s="66" t="s">
        <v>159</v>
      </c>
      <c r="Q43" s="55"/>
      <c r="R43" s="25" t="e">
        <f>R40</f>
        <v>#REF!</v>
      </c>
      <c r="T43" s="438"/>
    </row>
    <row r="44" spans="1:20" s="56" customFormat="1" ht="51.75" x14ac:dyDescent="0.35">
      <c r="A44" s="157">
        <v>30</v>
      </c>
      <c r="B44" s="495" t="s">
        <v>92</v>
      </c>
      <c r="C44" s="496"/>
      <c r="D44" s="69">
        <v>7000000</v>
      </c>
      <c r="E44" s="74">
        <v>0</v>
      </c>
      <c r="F44" s="69">
        <f>D44</f>
        <v>7000000</v>
      </c>
      <c r="G44" s="389" t="s">
        <v>337</v>
      </c>
      <c r="H44" s="396" t="s">
        <v>339</v>
      </c>
      <c r="I44" s="69" t="s">
        <v>324</v>
      </c>
      <c r="J44" s="69">
        <v>5163600</v>
      </c>
      <c r="K44" s="69">
        <f>F44-J44</f>
        <v>1836400</v>
      </c>
      <c r="L44" s="335"/>
      <c r="M44" s="69">
        <f>J44-L44</f>
        <v>5163600</v>
      </c>
      <c r="N44" s="69"/>
      <c r="O44" s="69"/>
      <c r="P44" s="66" t="s">
        <v>93</v>
      </c>
      <c r="Q44" s="55"/>
      <c r="R44" s="25" t="e">
        <f>#REF!</f>
        <v>#REF!</v>
      </c>
      <c r="T44" s="438"/>
    </row>
    <row r="45" spans="1:20" s="56" customFormat="1" ht="51.75" x14ac:dyDescent="0.35">
      <c r="A45" s="4">
        <v>31</v>
      </c>
      <c r="B45" s="495" t="s">
        <v>94</v>
      </c>
      <c r="C45" s="496"/>
      <c r="D45" s="64">
        <f>E45+F45</f>
        <v>1060000</v>
      </c>
      <c r="E45" s="74">
        <v>0</v>
      </c>
      <c r="F45" s="64">
        <v>1060000</v>
      </c>
      <c r="G45" s="389" t="s">
        <v>337</v>
      </c>
      <c r="H45" s="396" t="s">
        <v>340</v>
      </c>
      <c r="I45" s="393" t="s">
        <v>301</v>
      </c>
      <c r="J45" s="64">
        <v>1050000</v>
      </c>
      <c r="K45" s="69">
        <f>F45-J45</f>
        <v>10000</v>
      </c>
      <c r="L45" s="333"/>
      <c r="M45" s="69">
        <f>J45-L45</f>
        <v>1050000</v>
      </c>
      <c r="N45" s="64"/>
      <c r="O45" s="64"/>
      <c r="P45" s="66" t="s">
        <v>93</v>
      </c>
      <c r="Q45" s="55"/>
      <c r="R45" s="25" t="e">
        <f>#REF!</f>
        <v>#REF!</v>
      </c>
      <c r="T45" s="438"/>
    </row>
    <row r="46" spans="1:20" s="56" customFormat="1" ht="55.5" customHeight="1" x14ac:dyDescent="0.35">
      <c r="A46" s="157">
        <v>32</v>
      </c>
      <c r="B46" s="495" t="s">
        <v>314</v>
      </c>
      <c r="C46" s="496"/>
      <c r="D46" s="75">
        <f>E46+F46</f>
        <v>9000000</v>
      </c>
      <c r="E46" s="76">
        <v>0</v>
      </c>
      <c r="F46" s="64">
        <v>9000000</v>
      </c>
      <c r="G46" s="615" t="s">
        <v>313</v>
      </c>
      <c r="H46" s="617" t="s">
        <v>315</v>
      </c>
      <c r="I46" s="617" t="s">
        <v>316</v>
      </c>
      <c r="J46" s="617">
        <v>15960000</v>
      </c>
      <c r="K46" s="619">
        <f>F46+F47-J46</f>
        <v>40000</v>
      </c>
      <c r="L46" s="621"/>
      <c r="M46" s="619">
        <f>J46-L46</f>
        <v>15960000</v>
      </c>
      <c r="N46" s="617">
        <f>L46*100/J46</f>
        <v>0</v>
      </c>
      <c r="O46" s="617"/>
      <c r="P46" s="66" t="s">
        <v>158</v>
      </c>
      <c r="Q46" s="55"/>
      <c r="R46" s="25" t="e">
        <f>#REF!</f>
        <v>#REF!</v>
      </c>
      <c r="T46" s="438"/>
    </row>
    <row r="47" spans="1:20" s="56" customFormat="1" ht="53.25" customHeight="1" x14ac:dyDescent="0.35">
      <c r="A47" s="4">
        <v>33</v>
      </c>
      <c r="B47" s="495" t="s">
        <v>127</v>
      </c>
      <c r="C47" s="496"/>
      <c r="D47" s="64">
        <f>E47+F47</f>
        <v>7000000</v>
      </c>
      <c r="E47" s="74">
        <v>0</v>
      </c>
      <c r="F47" s="64">
        <v>7000000</v>
      </c>
      <c r="G47" s="616"/>
      <c r="H47" s="618"/>
      <c r="I47" s="618"/>
      <c r="J47" s="618"/>
      <c r="K47" s="620"/>
      <c r="L47" s="622"/>
      <c r="M47" s="620"/>
      <c r="N47" s="618"/>
      <c r="O47" s="618"/>
      <c r="P47" s="68" t="s">
        <v>158</v>
      </c>
      <c r="Q47" s="55"/>
      <c r="R47" s="25" t="e">
        <f t="shared" si="12"/>
        <v>#REF!</v>
      </c>
      <c r="T47" s="438"/>
    </row>
    <row r="48" spans="1:20" s="56" customFormat="1" x14ac:dyDescent="0.35">
      <c r="A48" s="15"/>
      <c r="B48" s="511" t="s">
        <v>50</v>
      </c>
      <c r="C48" s="512"/>
      <c r="D48" s="77">
        <f>SUM(D49:D51)</f>
        <v>1198400</v>
      </c>
      <c r="E48" s="78">
        <f>E49+E50+E51</f>
        <v>1198400</v>
      </c>
      <c r="F48" s="78">
        <f t="shared" ref="F48:O48" si="20">F49+F50+F51</f>
        <v>0</v>
      </c>
      <c r="G48" s="78"/>
      <c r="H48" s="78"/>
      <c r="I48" s="78"/>
      <c r="J48" s="78">
        <f t="shared" si="20"/>
        <v>0</v>
      </c>
      <c r="K48" s="78">
        <f t="shared" si="20"/>
        <v>0</v>
      </c>
      <c r="L48" s="78">
        <f t="shared" si="20"/>
        <v>288700</v>
      </c>
      <c r="M48" s="78">
        <f t="shared" si="20"/>
        <v>909700</v>
      </c>
      <c r="N48" s="432">
        <f>L48*100/E48</f>
        <v>24.09045393858478</v>
      </c>
      <c r="O48" s="78">
        <f t="shared" si="20"/>
        <v>0</v>
      </c>
      <c r="P48" s="412"/>
      <c r="Q48" s="55"/>
      <c r="R48" s="25" t="e">
        <f t="shared" si="12"/>
        <v>#REF!</v>
      </c>
      <c r="T48" s="438"/>
    </row>
    <row r="49" spans="1:20" s="56" customFormat="1" ht="34.5" x14ac:dyDescent="0.35">
      <c r="A49" s="14">
        <v>34</v>
      </c>
      <c r="B49" s="495" t="s">
        <v>96</v>
      </c>
      <c r="C49" s="496"/>
      <c r="D49" s="69">
        <f>E49+F49</f>
        <v>298300</v>
      </c>
      <c r="E49" s="74">
        <v>298300</v>
      </c>
      <c r="F49" s="69">
        <v>0</v>
      </c>
      <c r="G49" s="388" t="s">
        <v>271</v>
      </c>
      <c r="H49" s="69"/>
      <c r="I49" s="69"/>
      <c r="J49" s="69"/>
      <c r="K49" s="69"/>
      <c r="L49" s="335">
        <f>90600+40400+57600+14700+4500+11500</f>
        <v>219300</v>
      </c>
      <c r="M49" s="69">
        <f>E49-L49</f>
        <v>79000</v>
      </c>
      <c r="N49" s="335">
        <f>L49*100/E49</f>
        <v>73.516594032852836</v>
      </c>
      <c r="O49" s="69"/>
      <c r="P49" s="66" t="s">
        <v>97</v>
      </c>
      <c r="Q49" s="55"/>
      <c r="R49" s="25" t="e">
        <f>#REF!</f>
        <v>#REF!</v>
      </c>
      <c r="T49" s="438"/>
    </row>
    <row r="50" spans="1:20" s="56" customFormat="1" ht="34.5" x14ac:dyDescent="0.35">
      <c r="A50" s="80">
        <v>35</v>
      </c>
      <c r="B50" s="503" t="s">
        <v>98</v>
      </c>
      <c r="C50" s="496"/>
      <c r="D50" s="69">
        <f>E50+F50</f>
        <v>296700</v>
      </c>
      <c r="E50" s="74">
        <v>296700</v>
      </c>
      <c r="F50" s="69">
        <v>0</v>
      </c>
      <c r="G50" s="388" t="s">
        <v>271</v>
      </c>
      <c r="H50" s="208"/>
      <c r="I50" s="208"/>
      <c r="J50" s="208"/>
      <c r="K50" s="208"/>
      <c r="L50" s="337">
        <f>44800+6960+9800+7840</f>
        <v>69400</v>
      </c>
      <c r="M50" s="69">
        <f>E50-L50</f>
        <v>227300</v>
      </c>
      <c r="N50" s="335">
        <f t="shared" ref="N50:N51" si="21">L50*100/E50</f>
        <v>23.390630266262217</v>
      </c>
      <c r="O50" s="208"/>
      <c r="P50" s="204" t="s">
        <v>97</v>
      </c>
      <c r="Q50" s="55"/>
      <c r="R50" s="25" t="e">
        <f t="shared" si="12"/>
        <v>#REF!</v>
      </c>
      <c r="T50" s="438"/>
    </row>
    <row r="51" spans="1:20" s="56" customFormat="1" ht="34.5" x14ac:dyDescent="0.35">
      <c r="A51" s="2">
        <v>36</v>
      </c>
      <c r="B51" s="495" t="s">
        <v>49</v>
      </c>
      <c r="C51" s="496"/>
      <c r="D51" s="69">
        <f>E51+F51</f>
        <v>603400</v>
      </c>
      <c r="E51" s="65">
        <v>603400</v>
      </c>
      <c r="F51" s="64">
        <v>0</v>
      </c>
      <c r="G51" s="388" t="s">
        <v>271</v>
      </c>
      <c r="H51" s="64"/>
      <c r="I51" s="64"/>
      <c r="J51" s="64"/>
      <c r="K51" s="64"/>
      <c r="L51" s="333"/>
      <c r="M51" s="69">
        <f>E51-L51</f>
        <v>603400</v>
      </c>
      <c r="N51" s="335">
        <f t="shared" si="21"/>
        <v>0</v>
      </c>
      <c r="O51" s="64"/>
      <c r="P51" s="66" t="s">
        <v>97</v>
      </c>
      <c r="Q51" s="55"/>
      <c r="R51" s="25" t="e">
        <f t="shared" si="12"/>
        <v>#REF!</v>
      </c>
      <c r="T51" s="438"/>
    </row>
    <row r="52" spans="1:20" s="85" customFormat="1" ht="24.75" customHeight="1" x14ac:dyDescent="0.35">
      <c r="A52" s="504" t="s">
        <v>99</v>
      </c>
      <c r="B52" s="505"/>
      <c r="C52" s="506"/>
      <c r="D52" s="82">
        <f>D54+D83+D85+D91</f>
        <v>36571300</v>
      </c>
      <c r="E52" s="82">
        <f>E54+E83+E85+E91</f>
        <v>10758300</v>
      </c>
      <c r="F52" s="82">
        <f>F54+F83+F85+F91</f>
        <v>25813000</v>
      </c>
      <c r="G52" s="82"/>
      <c r="H52" s="82"/>
      <c r="I52" s="82"/>
      <c r="J52" s="82">
        <f>J53</f>
        <v>23769466.689999998</v>
      </c>
      <c r="K52" s="82">
        <f t="shared" ref="K52:M52" si="22">K53</f>
        <v>2584033.31</v>
      </c>
      <c r="L52" s="82">
        <f t="shared" si="22"/>
        <v>2417699.2400000002</v>
      </c>
      <c r="M52" s="82">
        <f t="shared" si="22"/>
        <v>31710067.449999996</v>
      </c>
      <c r="N52" s="426">
        <f>L52*100/D52</f>
        <v>6.6109196008892228</v>
      </c>
      <c r="O52" s="82">
        <f t="shared" ref="O52" si="23">O54+O83+O85+O91</f>
        <v>0</v>
      </c>
      <c r="P52" s="413"/>
      <c r="Q52" s="84"/>
      <c r="R52" s="25" t="e">
        <f t="shared" si="12"/>
        <v>#REF!</v>
      </c>
      <c r="T52" s="438"/>
    </row>
    <row r="53" spans="1:20" s="89" customFormat="1" ht="21" customHeight="1" x14ac:dyDescent="0.35">
      <c r="A53" s="507" t="s">
        <v>48</v>
      </c>
      <c r="B53" s="508"/>
      <c r="C53" s="509"/>
      <c r="D53" s="86">
        <f>E53+F53</f>
        <v>36571300</v>
      </c>
      <c r="E53" s="86">
        <f>E54+E83+E85+E91</f>
        <v>10758300</v>
      </c>
      <c r="F53" s="86">
        <f>F54+F83+F85+F91</f>
        <v>25813000</v>
      </c>
      <c r="G53" s="86"/>
      <c r="H53" s="86"/>
      <c r="I53" s="86"/>
      <c r="J53" s="86">
        <f t="shared" ref="J53:M53" si="24">J54+J83+J85+J91</f>
        <v>23769466.689999998</v>
      </c>
      <c r="K53" s="86">
        <f t="shared" si="24"/>
        <v>2584033.31</v>
      </c>
      <c r="L53" s="86">
        <f t="shared" si="24"/>
        <v>2417699.2400000002</v>
      </c>
      <c r="M53" s="86">
        <f t="shared" si="24"/>
        <v>31710067.449999996</v>
      </c>
      <c r="N53" s="382">
        <f>L53*100/D53</f>
        <v>6.6109196008892228</v>
      </c>
      <c r="O53" s="86"/>
      <c r="P53" s="414"/>
      <c r="Q53" s="88"/>
      <c r="R53" s="25" t="e">
        <f t="shared" si="12"/>
        <v>#REF!</v>
      </c>
      <c r="T53" s="438"/>
    </row>
    <row r="54" spans="1:20" s="89" customFormat="1" x14ac:dyDescent="0.35">
      <c r="A54" s="152"/>
      <c r="B54" s="489" t="s">
        <v>47</v>
      </c>
      <c r="C54" s="490"/>
      <c r="D54" s="86">
        <f>D55+D56+D62+D72</f>
        <v>31572800</v>
      </c>
      <c r="E54" s="86">
        <f>E55+E56+E62+E72</f>
        <v>5759800</v>
      </c>
      <c r="F54" s="86">
        <f>F55+F56+F62+F72</f>
        <v>25813000</v>
      </c>
      <c r="G54" s="86"/>
      <c r="H54" s="86"/>
      <c r="I54" s="86"/>
      <c r="J54" s="86">
        <f t="shared" ref="J54:O54" si="25">J55+J56+J62+J72</f>
        <v>23769466.689999998</v>
      </c>
      <c r="K54" s="86">
        <f t="shared" si="25"/>
        <v>2584033.31</v>
      </c>
      <c r="L54" s="86">
        <f t="shared" si="25"/>
        <v>1655816.24</v>
      </c>
      <c r="M54" s="86">
        <f t="shared" si="25"/>
        <v>27473450.449999996</v>
      </c>
      <c r="N54" s="382">
        <f>L54*100/D54</f>
        <v>5.2444390107941015</v>
      </c>
      <c r="O54" s="86">
        <f t="shared" si="25"/>
        <v>0</v>
      </c>
      <c r="P54" s="414"/>
      <c r="Q54" s="88"/>
      <c r="R54" s="25" t="e">
        <f t="shared" si="12"/>
        <v>#REF!</v>
      </c>
      <c r="T54" s="438"/>
    </row>
    <row r="55" spans="1:20" s="89" customFormat="1" ht="34.5" x14ac:dyDescent="0.35">
      <c r="A55" s="2">
        <v>37</v>
      </c>
      <c r="B55" s="477" t="s">
        <v>46</v>
      </c>
      <c r="C55" s="478"/>
      <c r="D55" s="90">
        <f>E55+F55</f>
        <v>698340</v>
      </c>
      <c r="E55" s="90">
        <v>698340</v>
      </c>
      <c r="F55" s="90">
        <v>0</v>
      </c>
      <c r="G55" s="437" t="s">
        <v>271</v>
      </c>
      <c r="H55" s="90"/>
      <c r="I55" s="90"/>
      <c r="J55" s="90"/>
      <c r="K55" s="90"/>
      <c r="L55" s="340">
        <f>48780</f>
        <v>48780</v>
      </c>
      <c r="M55" s="90">
        <f>E55-L55</f>
        <v>649560</v>
      </c>
      <c r="N55" s="90">
        <f>E55-L55</f>
        <v>649560</v>
      </c>
      <c r="O55" s="90"/>
      <c r="P55" s="199" t="s">
        <v>100</v>
      </c>
      <c r="Q55" s="88"/>
      <c r="R55" s="25" t="e">
        <f>#REF!</f>
        <v>#REF!</v>
      </c>
      <c r="T55" s="438"/>
    </row>
    <row r="56" spans="1:20" s="94" customFormat="1" ht="49.5" customHeight="1" x14ac:dyDescent="0.35">
      <c r="A56" s="13"/>
      <c r="B56" s="497" t="s">
        <v>170</v>
      </c>
      <c r="C56" s="498"/>
      <c r="D56" s="91">
        <f>E56+F56</f>
        <v>15104370</v>
      </c>
      <c r="E56" s="91">
        <v>1354370</v>
      </c>
      <c r="F56" s="91">
        <v>13750000</v>
      </c>
      <c r="G56" s="91"/>
      <c r="H56" s="91"/>
      <c r="I56" s="91"/>
      <c r="J56" s="91">
        <f>J58</f>
        <v>13656600</v>
      </c>
      <c r="K56" s="91">
        <f>K58</f>
        <v>93400</v>
      </c>
      <c r="L56" s="341">
        <f>L57+L58</f>
        <v>18000</v>
      </c>
      <c r="M56" s="341">
        <f>M57+M58</f>
        <v>14992970</v>
      </c>
      <c r="N56" s="341">
        <f>L56*100/D56</f>
        <v>0.11917080950744718</v>
      </c>
      <c r="O56" s="91"/>
      <c r="P56" s="406" t="s">
        <v>179</v>
      </c>
      <c r="Q56" s="93"/>
      <c r="R56" s="25" t="e">
        <f t="shared" si="12"/>
        <v>#REF!</v>
      </c>
      <c r="T56" s="438"/>
    </row>
    <row r="57" spans="1:20" s="94" customFormat="1" x14ac:dyDescent="0.35">
      <c r="A57" s="305">
        <v>38</v>
      </c>
      <c r="B57" s="306" t="s">
        <v>61</v>
      </c>
      <c r="C57" s="307"/>
      <c r="D57" s="101">
        <f>E57</f>
        <v>1354370</v>
      </c>
      <c r="E57" s="101">
        <v>1354370</v>
      </c>
      <c r="F57" s="101"/>
      <c r="G57" s="101"/>
      <c r="H57" s="101"/>
      <c r="I57" s="101"/>
      <c r="J57" s="101"/>
      <c r="K57" s="101"/>
      <c r="L57" s="342">
        <f>9000+9000</f>
        <v>18000</v>
      </c>
      <c r="M57" s="101">
        <f>E57-L57</f>
        <v>1336370</v>
      </c>
      <c r="N57" s="342">
        <f>L57*100/E57</f>
        <v>1.3290312100829167</v>
      </c>
      <c r="O57" s="101"/>
      <c r="P57" s="405"/>
      <c r="Q57" s="93"/>
      <c r="R57" s="25"/>
      <c r="T57" s="438"/>
    </row>
    <row r="58" spans="1:20" s="94" customFormat="1" x14ac:dyDescent="0.35">
      <c r="A58" s="305"/>
      <c r="B58" s="306" t="s">
        <v>60</v>
      </c>
      <c r="C58" s="307"/>
      <c r="D58" s="101">
        <f>F58</f>
        <v>13750000</v>
      </c>
      <c r="E58" s="101"/>
      <c r="F58" s="101">
        <f>F59+F60+F61</f>
        <v>13750000</v>
      </c>
      <c r="G58" s="101"/>
      <c r="H58" s="101"/>
      <c r="I58" s="101"/>
      <c r="J58" s="101">
        <f>J59+J60+J61</f>
        <v>13656600</v>
      </c>
      <c r="K58" s="101">
        <f>K59+K60+K61</f>
        <v>93400</v>
      </c>
      <c r="L58" s="101">
        <f>L59+L60+L61</f>
        <v>0</v>
      </c>
      <c r="M58" s="101">
        <f>M59+M60+M61</f>
        <v>13656600</v>
      </c>
      <c r="N58" s="101"/>
      <c r="O58" s="101"/>
      <c r="P58" s="405"/>
      <c r="Q58" s="93"/>
      <c r="R58" s="25"/>
      <c r="T58" s="438"/>
    </row>
    <row r="59" spans="1:20" s="94" customFormat="1" ht="51.75" x14ac:dyDescent="0.35">
      <c r="A59" s="351">
        <v>39</v>
      </c>
      <c r="B59" s="604" t="s">
        <v>45</v>
      </c>
      <c r="C59" s="605"/>
      <c r="D59" s="101">
        <f t="shared" ref="D59:D61" si="26">F59</f>
        <v>1200000</v>
      </c>
      <c r="E59" s="95">
        <v>0</v>
      </c>
      <c r="F59" s="349">
        <v>1200000</v>
      </c>
      <c r="G59" s="398" t="s">
        <v>304</v>
      </c>
      <c r="H59" s="349"/>
      <c r="I59" s="401" t="s">
        <v>302</v>
      </c>
      <c r="J59" s="349">
        <v>1199600</v>
      </c>
      <c r="K59" s="349">
        <f>F59-J59</f>
        <v>400</v>
      </c>
      <c r="L59" s="352"/>
      <c r="M59" s="349">
        <f>J59-L59</f>
        <v>1199600</v>
      </c>
      <c r="N59" s="349"/>
      <c r="O59" s="349"/>
      <c r="P59" s="415"/>
      <c r="Q59" s="93"/>
      <c r="R59" s="25" t="e">
        <f>R56</f>
        <v>#REF!</v>
      </c>
      <c r="T59" s="438"/>
    </row>
    <row r="60" spans="1:20" s="94" customFormat="1" ht="51.75" x14ac:dyDescent="0.35">
      <c r="A60" s="351">
        <v>40</v>
      </c>
      <c r="B60" s="604" t="s">
        <v>44</v>
      </c>
      <c r="C60" s="605"/>
      <c r="D60" s="101">
        <f t="shared" si="26"/>
        <v>900000</v>
      </c>
      <c r="E60" s="95">
        <v>0</v>
      </c>
      <c r="F60" s="349">
        <v>900000</v>
      </c>
      <c r="G60" s="398" t="s">
        <v>303</v>
      </c>
      <c r="H60" s="401" t="s">
        <v>305</v>
      </c>
      <c r="I60" s="442" t="s">
        <v>307</v>
      </c>
      <c r="J60" s="349">
        <v>807000</v>
      </c>
      <c r="K60" s="349">
        <f>F60-J60</f>
        <v>93000</v>
      </c>
      <c r="L60" s="352"/>
      <c r="M60" s="349">
        <f>J60-L60</f>
        <v>807000</v>
      </c>
      <c r="N60" s="427"/>
      <c r="O60" s="349"/>
      <c r="P60" s="415"/>
      <c r="Q60" s="93"/>
      <c r="R60" s="25" t="e">
        <f t="shared" si="12"/>
        <v>#REF!</v>
      </c>
      <c r="T60" s="438"/>
    </row>
    <row r="61" spans="1:20" s="94" customFormat="1" ht="51.75" x14ac:dyDescent="0.35">
      <c r="A61" s="353">
        <v>41</v>
      </c>
      <c r="B61" s="606" t="s">
        <v>120</v>
      </c>
      <c r="C61" s="607"/>
      <c r="D61" s="101">
        <f t="shared" si="26"/>
        <v>11650000</v>
      </c>
      <c r="E61" s="98">
        <v>0</v>
      </c>
      <c r="F61" s="350">
        <v>11650000</v>
      </c>
      <c r="G61" s="398" t="s">
        <v>304</v>
      </c>
      <c r="H61" s="350"/>
      <c r="I61" s="443" t="s">
        <v>306</v>
      </c>
      <c r="J61" s="350">
        <v>11650000</v>
      </c>
      <c r="K61" s="349">
        <f>F61-J61</f>
        <v>0</v>
      </c>
      <c r="L61" s="354"/>
      <c r="M61" s="349">
        <f>J61-L61</f>
        <v>11650000</v>
      </c>
      <c r="N61" s="113"/>
      <c r="O61" s="350"/>
      <c r="P61" s="201"/>
      <c r="Q61" s="93"/>
      <c r="R61" s="25" t="e">
        <f t="shared" si="12"/>
        <v>#REF!</v>
      </c>
      <c r="T61" s="438"/>
    </row>
    <row r="62" spans="1:20" s="94" customFormat="1" ht="71.25" customHeight="1" x14ac:dyDescent="0.35">
      <c r="A62" s="12"/>
      <c r="B62" s="497" t="s">
        <v>171</v>
      </c>
      <c r="C62" s="498"/>
      <c r="D62" s="91">
        <f>E62+F62</f>
        <v>11036590</v>
      </c>
      <c r="E62" s="91">
        <f>E63</f>
        <v>1025590</v>
      </c>
      <c r="F62" s="91">
        <f>F64</f>
        <v>10011000</v>
      </c>
      <c r="G62" s="91"/>
      <c r="H62" s="91"/>
      <c r="I62" s="91"/>
      <c r="J62" s="91">
        <f>J64</f>
        <v>8454366.6899999995</v>
      </c>
      <c r="K62" s="91">
        <f>K64</f>
        <v>1156633.31</v>
      </c>
      <c r="L62" s="341">
        <f>L63</f>
        <v>37530</v>
      </c>
      <c r="M62" s="341">
        <f>M63+M64</f>
        <v>9042426.6899999995</v>
      </c>
      <c r="N62" s="341">
        <f>L62*100/D62</f>
        <v>0.34005068594556831</v>
      </c>
      <c r="O62" s="91"/>
      <c r="P62" s="406" t="s">
        <v>179</v>
      </c>
      <c r="Q62" s="93"/>
      <c r="R62" s="25" t="e">
        <f>#REF!</f>
        <v>#REF!</v>
      </c>
      <c r="T62" s="438"/>
    </row>
    <row r="63" spans="1:20" s="94" customFormat="1" x14ac:dyDescent="0.35">
      <c r="A63" s="10">
        <v>42</v>
      </c>
      <c r="B63" s="306" t="s">
        <v>61</v>
      </c>
      <c r="C63" s="307"/>
      <c r="D63" s="101">
        <f>E63</f>
        <v>1025590</v>
      </c>
      <c r="E63" s="101">
        <v>1025590</v>
      </c>
      <c r="F63" s="101"/>
      <c r="G63" s="101"/>
      <c r="H63" s="101"/>
      <c r="I63" s="101"/>
      <c r="J63" s="101"/>
      <c r="K63" s="101"/>
      <c r="L63" s="342">
        <f>26730+10800</f>
        <v>37530</v>
      </c>
      <c r="M63" s="101">
        <f>E63-L63</f>
        <v>988060</v>
      </c>
      <c r="N63" s="342">
        <f>L63*100/E63</f>
        <v>3.6593570530133874</v>
      </c>
      <c r="O63" s="101"/>
      <c r="P63" s="405"/>
      <c r="Q63" s="93"/>
      <c r="R63" s="25"/>
      <c r="T63" s="438"/>
    </row>
    <row r="64" spans="1:20" s="94" customFormat="1" x14ac:dyDescent="0.35">
      <c r="A64" s="10"/>
      <c r="B64" s="306" t="s">
        <v>60</v>
      </c>
      <c r="C64" s="307"/>
      <c r="D64" s="101">
        <f>F64</f>
        <v>10011000</v>
      </c>
      <c r="E64" s="101"/>
      <c r="F64" s="101">
        <f>F65+F66+F67+F68+F69+F70+F71</f>
        <v>10011000</v>
      </c>
      <c r="G64" s="101"/>
      <c r="H64" s="101"/>
      <c r="I64" s="101"/>
      <c r="J64" s="342">
        <f t="shared" ref="J64:M64" si="27">J65+J66+J67+J68+J69+J70+J71</f>
        <v>8454366.6899999995</v>
      </c>
      <c r="K64" s="342">
        <f t="shared" si="27"/>
        <v>1156633.31</v>
      </c>
      <c r="L64" s="101">
        <f t="shared" si="27"/>
        <v>0</v>
      </c>
      <c r="M64" s="342">
        <f t="shared" si="27"/>
        <v>8054366.6899999995</v>
      </c>
      <c r="N64" s="101"/>
      <c r="O64" s="101"/>
      <c r="P64" s="405"/>
      <c r="Q64" s="93"/>
      <c r="R64" s="25"/>
      <c r="T64" s="438"/>
    </row>
    <row r="65" spans="1:20" s="94" customFormat="1" ht="75.75" customHeight="1" x14ac:dyDescent="0.35">
      <c r="A65" s="355">
        <v>43</v>
      </c>
      <c r="B65" s="604" t="s">
        <v>257</v>
      </c>
      <c r="C65" s="605"/>
      <c r="D65" s="101">
        <f t="shared" ref="D65:D71" si="28">F65</f>
        <v>6651000</v>
      </c>
      <c r="E65" s="101"/>
      <c r="F65" s="356">
        <v>6651000</v>
      </c>
      <c r="G65" s="399" t="s">
        <v>320</v>
      </c>
      <c r="H65" s="356"/>
      <c r="I65" s="446" t="s">
        <v>321</v>
      </c>
      <c r="J65" s="356">
        <v>5600000</v>
      </c>
      <c r="K65" s="357">
        <f>F65-J65</f>
        <v>1051000</v>
      </c>
      <c r="L65" s="357"/>
      <c r="M65" s="357">
        <f>J65-L65</f>
        <v>5600000</v>
      </c>
      <c r="N65" s="356"/>
      <c r="O65" s="356"/>
      <c r="P65" s="405" t="s">
        <v>146</v>
      </c>
      <c r="Q65" s="93"/>
      <c r="R65" s="25" t="e">
        <f>R62</f>
        <v>#REF!</v>
      </c>
      <c r="T65" s="438"/>
    </row>
    <row r="66" spans="1:20" s="94" customFormat="1" ht="51.75" x14ac:dyDescent="0.35">
      <c r="A66" s="351">
        <v>44</v>
      </c>
      <c r="B66" s="604" t="s">
        <v>43</v>
      </c>
      <c r="C66" s="605"/>
      <c r="D66" s="101">
        <f t="shared" si="28"/>
        <v>260000</v>
      </c>
      <c r="E66" s="95"/>
      <c r="F66" s="349">
        <v>260000</v>
      </c>
      <c r="G66" s="398" t="s">
        <v>337</v>
      </c>
      <c r="H66" s="442" t="s">
        <v>309</v>
      </c>
      <c r="I66" s="442" t="s">
        <v>308</v>
      </c>
      <c r="J66" s="352">
        <v>254582.13</v>
      </c>
      <c r="K66" s="357">
        <f>F66-J66</f>
        <v>5417.8699999999953</v>
      </c>
      <c r="L66" s="352"/>
      <c r="M66" s="357">
        <f>J66-L66</f>
        <v>254582.13</v>
      </c>
      <c r="N66" s="349"/>
      <c r="O66" s="349"/>
      <c r="P66" s="415"/>
      <c r="Q66" s="93"/>
      <c r="R66" s="25" t="e">
        <f t="shared" si="12"/>
        <v>#REF!</v>
      </c>
      <c r="T66" s="438"/>
    </row>
    <row r="67" spans="1:20" s="94" customFormat="1" ht="39" customHeight="1" x14ac:dyDescent="0.35">
      <c r="A67" s="355">
        <v>45</v>
      </c>
      <c r="B67" s="604" t="s">
        <v>122</v>
      </c>
      <c r="C67" s="605"/>
      <c r="D67" s="101">
        <f t="shared" si="28"/>
        <v>400000</v>
      </c>
      <c r="E67" s="95"/>
      <c r="F67" s="349">
        <v>400000</v>
      </c>
      <c r="G67" s="398" t="s">
        <v>300</v>
      </c>
      <c r="H67" s="349"/>
      <c r="I67" s="442" t="s">
        <v>308</v>
      </c>
      <c r="J67" s="349">
        <v>390399.56</v>
      </c>
      <c r="K67" s="357">
        <f t="shared" ref="K67:K69" si="29">F67-J67</f>
        <v>9600.4400000000023</v>
      </c>
      <c r="L67" s="352"/>
      <c r="M67" s="357">
        <f t="shared" ref="M67:M69" si="30">J67-L67</f>
        <v>390399.56</v>
      </c>
      <c r="N67" s="349"/>
      <c r="O67" s="349"/>
      <c r="P67" s="415"/>
      <c r="Q67" s="93"/>
      <c r="R67" s="25"/>
      <c r="T67" s="438"/>
    </row>
    <row r="68" spans="1:20" s="94" customFormat="1" ht="34.5" x14ac:dyDescent="0.35">
      <c r="A68" s="351">
        <v>46</v>
      </c>
      <c r="B68" s="604" t="s">
        <v>42</v>
      </c>
      <c r="C68" s="605"/>
      <c r="D68" s="101">
        <f t="shared" si="28"/>
        <v>400000</v>
      </c>
      <c r="E68" s="95"/>
      <c r="F68" s="349">
        <v>400000</v>
      </c>
      <c r="G68" s="398" t="s">
        <v>300</v>
      </c>
      <c r="H68" s="349"/>
      <c r="I68" s="442" t="s">
        <v>308</v>
      </c>
      <c r="J68" s="349">
        <v>396385</v>
      </c>
      <c r="K68" s="357">
        <f t="shared" si="29"/>
        <v>3615</v>
      </c>
      <c r="L68" s="352"/>
      <c r="M68" s="357">
        <f t="shared" si="30"/>
        <v>396385</v>
      </c>
      <c r="N68" s="349"/>
      <c r="O68" s="349"/>
      <c r="P68" s="415"/>
      <c r="Q68" s="93"/>
      <c r="R68" s="25"/>
      <c r="T68" s="438"/>
    </row>
    <row r="69" spans="1:20" s="94" customFormat="1" ht="34.5" x14ac:dyDescent="0.35">
      <c r="A69" s="355">
        <v>47</v>
      </c>
      <c r="B69" s="604" t="s">
        <v>41</v>
      </c>
      <c r="C69" s="605"/>
      <c r="D69" s="101">
        <f t="shared" si="28"/>
        <v>600000</v>
      </c>
      <c r="E69" s="95"/>
      <c r="F69" s="349">
        <v>600000</v>
      </c>
      <c r="G69" s="398" t="s">
        <v>300</v>
      </c>
      <c r="H69" s="349"/>
      <c r="I69" s="442" t="s">
        <v>310</v>
      </c>
      <c r="J69" s="349">
        <v>528000</v>
      </c>
      <c r="K69" s="357">
        <f t="shared" si="29"/>
        <v>72000</v>
      </c>
      <c r="L69" s="352"/>
      <c r="M69" s="357">
        <f t="shared" si="30"/>
        <v>528000</v>
      </c>
      <c r="N69" s="349"/>
      <c r="O69" s="349"/>
      <c r="P69" s="415"/>
      <c r="Q69" s="93"/>
      <c r="R69" s="25"/>
      <c r="T69" s="438"/>
    </row>
    <row r="70" spans="1:20" s="94" customFormat="1" ht="51.75" x14ac:dyDescent="0.35">
      <c r="A70" s="351">
        <v>48</v>
      </c>
      <c r="B70" s="604" t="s">
        <v>123</v>
      </c>
      <c r="C70" s="605"/>
      <c r="D70" s="101">
        <f t="shared" si="28"/>
        <v>1200000</v>
      </c>
      <c r="E70" s="95"/>
      <c r="F70" s="349">
        <v>1200000</v>
      </c>
      <c r="G70" s="398" t="s">
        <v>328</v>
      </c>
      <c r="H70" s="349"/>
      <c r="I70" s="451" t="s">
        <v>329</v>
      </c>
      <c r="J70" s="452">
        <v>800000</v>
      </c>
      <c r="K70" s="356">
        <v>0</v>
      </c>
      <c r="L70" s="352"/>
      <c r="M70" s="356">
        <f t="shared" ref="M70" si="31">F70-J70-L70</f>
        <v>400000</v>
      </c>
      <c r="N70" s="349"/>
      <c r="O70" s="349"/>
      <c r="P70" s="415"/>
      <c r="Q70" s="93"/>
      <c r="R70" s="25"/>
      <c r="T70" s="438"/>
    </row>
    <row r="71" spans="1:20" s="94" customFormat="1" ht="34.5" x14ac:dyDescent="0.35">
      <c r="A71" s="355">
        <v>49</v>
      </c>
      <c r="B71" s="606" t="s">
        <v>40</v>
      </c>
      <c r="C71" s="607"/>
      <c r="D71" s="101">
        <f t="shared" si="28"/>
        <v>500000</v>
      </c>
      <c r="E71" s="98"/>
      <c r="F71" s="350">
        <v>500000</v>
      </c>
      <c r="G71" s="398" t="s">
        <v>300</v>
      </c>
      <c r="H71" s="350"/>
      <c r="I71" s="442" t="s">
        <v>308</v>
      </c>
      <c r="J71" s="350">
        <v>485000</v>
      </c>
      <c r="K71" s="356">
        <f>F71-J71</f>
        <v>15000</v>
      </c>
      <c r="L71" s="354"/>
      <c r="M71" s="356">
        <f>J71-L71</f>
        <v>485000</v>
      </c>
      <c r="N71" s="350"/>
      <c r="O71" s="350"/>
      <c r="P71" s="201"/>
      <c r="Q71" s="93"/>
      <c r="R71" s="25" t="e">
        <f>R66</f>
        <v>#REF!</v>
      </c>
      <c r="T71" s="438"/>
    </row>
    <row r="72" spans="1:20" s="94" customFormat="1" ht="46.5" customHeight="1" x14ac:dyDescent="0.35">
      <c r="A72" s="12"/>
      <c r="B72" s="497" t="s">
        <v>172</v>
      </c>
      <c r="C72" s="498"/>
      <c r="D72" s="91">
        <f>E72+F72</f>
        <v>4733500</v>
      </c>
      <c r="E72" s="91">
        <f>E73</f>
        <v>2681500</v>
      </c>
      <c r="F72" s="91">
        <v>2052000</v>
      </c>
      <c r="G72" s="91"/>
      <c r="H72" s="91"/>
      <c r="I72" s="91"/>
      <c r="J72" s="91">
        <f>J74</f>
        <v>1658500</v>
      </c>
      <c r="K72" s="91">
        <f>K74</f>
        <v>1334000</v>
      </c>
      <c r="L72" s="341">
        <f>L73+L74</f>
        <v>1551506.24</v>
      </c>
      <c r="M72" s="356">
        <f>M73+M74</f>
        <v>2788493.76</v>
      </c>
      <c r="N72" s="341">
        <f>L72*100/D72</f>
        <v>32.777146720185911</v>
      </c>
      <c r="O72" s="91"/>
      <c r="P72" s="406" t="s">
        <v>179</v>
      </c>
      <c r="Q72" s="93"/>
      <c r="R72" s="25" t="e">
        <f>#REF!</f>
        <v>#REF!</v>
      </c>
      <c r="T72" s="438"/>
    </row>
    <row r="73" spans="1:20" s="94" customFormat="1" x14ac:dyDescent="0.35">
      <c r="A73" s="10">
        <v>50</v>
      </c>
      <c r="B73" s="306" t="s">
        <v>61</v>
      </c>
      <c r="C73" s="307"/>
      <c r="D73" s="101">
        <f>E73</f>
        <v>2681500</v>
      </c>
      <c r="E73" s="101">
        <v>2681500</v>
      </c>
      <c r="F73" s="101"/>
      <c r="G73" s="101"/>
      <c r="H73" s="101"/>
      <c r="I73" s="101"/>
      <c r="J73" s="101"/>
      <c r="K73" s="101"/>
      <c r="L73" s="342">
        <f>90000+6967.74+42420+48728.58+18389.92+369000+99000+8000</f>
        <v>682506.23999999999</v>
      </c>
      <c r="M73" s="356">
        <f>E73-L73</f>
        <v>1998993.76</v>
      </c>
      <c r="N73" s="342">
        <f>L73*100/E73</f>
        <v>25.452404997203057</v>
      </c>
      <c r="O73" s="101"/>
      <c r="P73" s="405"/>
      <c r="Q73" s="93"/>
      <c r="R73" s="25"/>
      <c r="T73" s="438"/>
    </row>
    <row r="74" spans="1:20" s="94" customFormat="1" x14ac:dyDescent="0.35">
      <c r="A74" s="10"/>
      <c r="B74" s="306" t="s">
        <v>60</v>
      </c>
      <c r="C74" s="307"/>
      <c r="D74" s="101">
        <f>F74</f>
        <v>2052000</v>
      </c>
      <c r="E74" s="101"/>
      <c r="F74" s="101">
        <f>F75+F76+F77+F78+F79+F80+F81+F82</f>
        <v>2052000</v>
      </c>
      <c r="H74" s="101"/>
      <c r="I74" s="101"/>
      <c r="J74" s="101">
        <f>J75+J76+J78+J79+J80+J81+J82+J77</f>
        <v>1658500</v>
      </c>
      <c r="K74" s="101">
        <f>K75+K76+K78+K79+K80+K81+K82+K77</f>
        <v>1334000</v>
      </c>
      <c r="L74" s="342">
        <f>L75+L76+L78+L79+L80+L81+L82+L77</f>
        <v>869000</v>
      </c>
      <c r="M74" s="342">
        <f>M75+M76+M78+M79+M80+M81+M82+M77</f>
        <v>789500</v>
      </c>
      <c r="N74" s="342">
        <f>L74*100/J74</f>
        <v>52.396744045824541</v>
      </c>
      <c r="O74" s="101"/>
      <c r="P74" s="405"/>
      <c r="Q74" s="93"/>
      <c r="R74" s="25"/>
      <c r="T74" s="438"/>
    </row>
    <row r="75" spans="1:20" s="94" customFormat="1" ht="34.5" x14ac:dyDescent="0.35">
      <c r="A75" s="351">
        <v>51</v>
      </c>
      <c r="B75" s="604" t="s">
        <v>39</v>
      </c>
      <c r="C75" s="605"/>
      <c r="D75" s="101">
        <f t="shared" ref="D75:D82" si="32">F75</f>
        <v>10000</v>
      </c>
      <c r="E75" s="95"/>
      <c r="F75" s="349">
        <v>10000</v>
      </c>
      <c r="G75" s="454" t="s">
        <v>341</v>
      </c>
      <c r="H75" s="444" t="s">
        <v>268</v>
      </c>
      <c r="I75" s="401" t="s">
        <v>296</v>
      </c>
      <c r="J75" s="349">
        <v>10000</v>
      </c>
      <c r="K75" s="101">
        <f t="shared" ref="K75:K76" si="33">K76+K77+K79+K80+K81+K82+K83+K78</f>
        <v>667000</v>
      </c>
      <c r="L75" s="352">
        <f>10000</f>
        <v>10000</v>
      </c>
      <c r="M75" s="356">
        <f>J75-L75</f>
        <v>0</v>
      </c>
      <c r="N75" s="342">
        <f t="shared" ref="N75:N82" si="34">L75*100/J75</f>
        <v>100</v>
      </c>
      <c r="O75" s="349"/>
      <c r="P75" s="415"/>
      <c r="Q75" s="93"/>
      <c r="R75" s="25" t="e">
        <f>R72</f>
        <v>#REF!</v>
      </c>
      <c r="T75" s="438"/>
    </row>
    <row r="76" spans="1:20" s="94" customFormat="1" ht="57.75" customHeight="1" x14ac:dyDescent="0.35">
      <c r="A76" s="358">
        <v>52</v>
      </c>
      <c r="B76" s="606" t="s">
        <v>38</v>
      </c>
      <c r="C76" s="607"/>
      <c r="D76" s="101">
        <f t="shared" si="32"/>
        <v>648000</v>
      </c>
      <c r="E76" s="360"/>
      <c r="F76" s="361">
        <v>648000</v>
      </c>
      <c r="G76" s="398" t="s">
        <v>328</v>
      </c>
      <c r="H76" s="361"/>
      <c r="I76" s="453" t="s">
        <v>330</v>
      </c>
      <c r="J76" s="361">
        <v>588000</v>
      </c>
      <c r="K76" s="101">
        <f t="shared" si="33"/>
        <v>333500</v>
      </c>
      <c r="L76" s="359"/>
      <c r="M76" s="356">
        <f>J76-L76</f>
        <v>588000</v>
      </c>
      <c r="N76" s="342"/>
      <c r="O76" s="361"/>
      <c r="P76" s="416"/>
      <c r="Q76" s="93"/>
      <c r="R76" s="25" t="e">
        <f t="shared" si="12"/>
        <v>#REF!</v>
      </c>
      <c r="T76" s="438"/>
    </row>
    <row r="77" spans="1:20" s="94" customFormat="1" ht="34.5" x14ac:dyDescent="0.35">
      <c r="A77" s="351">
        <v>53</v>
      </c>
      <c r="B77" s="602" t="s">
        <v>37</v>
      </c>
      <c r="C77" s="603"/>
      <c r="D77" s="101">
        <f t="shared" si="32"/>
        <v>32000</v>
      </c>
      <c r="E77" s="101"/>
      <c r="F77" s="356">
        <v>32000</v>
      </c>
      <c r="G77" s="444" t="s">
        <v>341</v>
      </c>
      <c r="H77" s="444" t="s">
        <v>311</v>
      </c>
      <c r="I77" s="401" t="s">
        <v>296</v>
      </c>
      <c r="J77" s="356">
        <v>32000</v>
      </c>
      <c r="K77" s="356">
        <f t="shared" ref="K77:K82" si="35">F77-J77</f>
        <v>0</v>
      </c>
      <c r="L77" s="357">
        <v>32000</v>
      </c>
      <c r="M77" s="356">
        <f>J77-L77</f>
        <v>0</v>
      </c>
      <c r="N77" s="342">
        <f t="shared" si="34"/>
        <v>100</v>
      </c>
      <c r="O77" s="356"/>
      <c r="P77" s="405"/>
      <c r="Q77" s="93"/>
      <c r="R77" s="25"/>
      <c r="T77" s="438"/>
    </row>
    <row r="78" spans="1:20" s="94" customFormat="1" ht="34.5" x14ac:dyDescent="0.35">
      <c r="A78" s="358">
        <v>54</v>
      </c>
      <c r="B78" s="604" t="s">
        <v>173</v>
      </c>
      <c r="C78" s="605"/>
      <c r="D78" s="101">
        <f t="shared" si="32"/>
        <v>10000</v>
      </c>
      <c r="E78" s="95"/>
      <c r="F78" s="349">
        <v>10000</v>
      </c>
      <c r="G78" s="442" t="s">
        <v>341</v>
      </c>
      <c r="H78" s="444" t="s">
        <v>311</v>
      </c>
      <c r="I78" s="401" t="s">
        <v>296</v>
      </c>
      <c r="J78" s="349">
        <v>10000</v>
      </c>
      <c r="K78" s="349">
        <f t="shared" si="35"/>
        <v>0</v>
      </c>
      <c r="L78" s="352">
        <v>10000</v>
      </c>
      <c r="M78" s="356">
        <f t="shared" ref="M78:M82" si="36">J78-L78</f>
        <v>0</v>
      </c>
      <c r="N78" s="342">
        <f t="shared" si="34"/>
        <v>100</v>
      </c>
      <c r="O78" s="349"/>
      <c r="P78" s="415"/>
      <c r="Q78" s="93"/>
      <c r="R78" s="25"/>
      <c r="T78" s="438"/>
    </row>
    <row r="79" spans="1:20" s="94" customFormat="1" ht="34.5" x14ac:dyDescent="0.35">
      <c r="A79" s="351">
        <v>55</v>
      </c>
      <c r="B79" s="604" t="s">
        <v>35</v>
      </c>
      <c r="C79" s="605"/>
      <c r="D79" s="101">
        <f t="shared" si="32"/>
        <v>25000</v>
      </c>
      <c r="E79" s="95"/>
      <c r="F79" s="349">
        <v>25000</v>
      </c>
      <c r="G79" s="442" t="s">
        <v>341</v>
      </c>
      <c r="H79" s="444" t="s">
        <v>311</v>
      </c>
      <c r="I79" s="401" t="s">
        <v>296</v>
      </c>
      <c r="J79" s="349">
        <v>25000</v>
      </c>
      <c r="K79" s="349">
        <f t="shared" si="35"/>
        <v>0</v>
      </c>
      <c r="L79" s="352">
        <v>25000</v>
      </c>
      <c r="M79" s="356">
        <f t="shared" si="36"/>
        <v>0</v>
      </c>
      <c r="N79" s="342">
        <f t="shared" si="34"/>
        <v>100</v>
      </c>
      <c r="O79" s="349"/>
      <c r="P79" s="415"/>
      <c r="Q79" s="93"/>
      <c r="R79" s="25"/>
      <c r="T79" s="438"/>
    </row>
    <row r="80" spans="1:20" s="94" customFormat="1" ht="51.75" x14ac:dyDescent="0.35">
      <c r="A80" s="358">
        <v>56</v>
      </c>
      <c r="B80" s="604" t="s">
        <v>125</v>
      </c>
      <c r="C80" s="605"/>
      <c r="D80" s="101">
        <f t="shared" si="32"/>
        <v>423000</v>
      </c>
      <c r="E80" s="95"/>
      <c r="F80" s="349">
        <v>423000</v>
      </c>
      <c r="G80" s="398" t="s">
        <v>344</v>
      </c>
      <c r="H80" s="442" t="s">
        <v>286</v>
      </c>
      <c r="I80" s="401" t="s">
        <v>287</v>
      </c>
      <c r="J80" s="349">
        <v>423000</v>
      </c>
      <c r="K80" s="349">
        <f t="shared" si="35"/>
        <v>0</v>
      </c>
      <c r="L80" s="352">
        <f>423000</f>
        <v>423000</v>
      </c>
      <c r="M80" s="356">
        <f t="shared" si="36"/>
        <v>0</v>
      </c>
      <c r="N80" s="342">
        <f t="shared" si="34"/>
        <v>100</v>
      </c>
      <c r="O80" s="349"/>
      <c r="P80" s="415"/>
      <c r="Q80" s="93"/>
      <c r="R80" s="25"/>
      <c r="T80" s="438"/>
    </row>
    <row r="81" spans="1:20" s="94" customFormat="1" ht="51.75" x14ac:dyDescent="0.35">
      <c r="A81" s="351">
        <v>57</v>
      </c>
      <c r="B81" s="604" t="s">
        <v>34</v>
      </c>
      <c r="C81" s="605"/>
      <c r="D81" s="101">
        <f t="shared" si="32"/>
        <v>204000</v>
      </c>
      <c r="E81" s="101"/>
      <c r="F81" s="356">
        <v>204000</v>
      </c>
      <c r="G81" s="398" t="s">
        <v>276</v>
      </c>
      <c r="H81" s="444" t="s">
        <v>288</v>
      </c>
      <c r="I81" s="402" t="s">
        <v>289</v>
      </c>
      <c r="J81" s="356">
        <v>201500</v>
      </c>
      <c r="K81" s="349">
        <f t="shared" si="35"/>
        <v>2500</v>
      </c>
      <c r="L81" s="357"/>
      <c r="M81" s="356">
        <f t="shared" si="36"/>
        <v>201500</v>
      </c>
      <c r="N81" s="342">
        <f t="shared" si="34"/>
        <v>0</v>
      </c>
      <c r="O81" s="356"/>
      <c r="P81" s="405"/>
      <c r="Q81" s="93"/>
      <c r="R81" s="25" t="e">
        <f>R76</f>
        <v>#REF!</v>
      </c>
      <c r="T81" s="438"/>
    </row>
    <row r="82" spans="1:20" s="94" customFormat="1" ht="51.75" x14ac:dyDescent="0.35">
      <c r="A82" s="358">
        <v>58</v>
      </c>
      <c r="B82" s="606" t="s">
        <v>33</v>
      </c>
      <c r="C82" s="607"/>
      <c r="D82" s="101">
        <f t="shared" si="32"/>
        <v>700000</v>
      </c>
      <c r="E82" s="98"/>
      <c r="F82" s="350">
        <v>700000</v>
      </c>
      <c r="G82" s="400" t="s">
        <v>341</v>
      </c>
      <c r="H82" s="443" t="s">
        <v>288</v>
      </c>
      <c r="I82" s="403" t="s">
        <v>290</v>
      </c>
      <c r="J82" s="350">
        <v>369000</v>
      </c>
      <c r="K82" s="349">
        <f t="shared" si="35"/>
        <v>331000</v>
      </c>
      <c r="L82" s="354">
        <f>369000</f>
        <v>369000</v>
      </c>
      <c r="M82" s="428">
        <f t="shared" si="36"/>
        <v>0</v>
      </c>
      <c r="N82" s="342">
        <f t="shared" si="34"/>
        <v>100</v>
      </c>
      <c r="O82" s="350"/>
      <c r="P82" s="201"/>
      <c r="Q82" s="93"/>
      <c r="R82" s="25" t="e">
        <f>R81</f>
        <v>#REF!</v>
      </c>
      <c r="T82" s="438"/>
    </row>
    <row r="83" spans="1:20" s="107" customFormat="1" x14ac:dyDescent="0.35">
      <c r="A83" s="8"/>
      <c r="B83" s="489" t="s">
        <v>32</v>
      </c>
      <c r="C83" s="490"/>
      <c r="D83" s="104">
        <f>SUM(D84:D84)</f>
        <v>400000</v>
      </c>
      <c r="E83" s="104">
        <v>400000</v>
      </c>
      <c r="F83" s="104">
        <f>F84</f>
        <v>0</v>
      </c>
      <c r="G83" s="104"/>
      <c r="H83" s="104"/>
      <c r="I83" s="104"/>
      <c r="J83" s="104">
        <f t="shared" ref="J83:O83" si="37">J84</f>
        <v>0</v>
      </c>
      <c r="K83" s="104">
        <f t="shared" si="37"/>
        <v>0</v>
      </c>
      <c r="L83" s="104">
        <f t="shared" si="37"/>
        <v>0</v>
      </c>
      <c r="M83" s="429">
        <f>M84</f>
        <v>400000</v>
      </c>
      <c r="N83" s="104">
        <f>L83*100/E83</f>
        <v>0</v>
      </c>
      <c r="O83" s="104">
        <f t="shared" si="37"/>
        <v>0</v>
      </c>
      <c r="P83" s="417"/>
      <c r="Q83" s="106"/>
      <c r="R83" s="25" t="e">
        <f>R82</f>
        <v>#REF!</v>
      </c>
      <c r="T83" s="438"/>
    </row>
    <row r="84" spans="1:20" s="89" customFormat="1" ht="34.5" x14ac:dyDescent="0.35">
      <c r="A84" s="2">
        <v>59</v>
      </c>
      <c r="B84" s="495" t="s">
        <v>31</v>
      </c>
      <c r="C84" s="496"/>
      <c r="D84" s="108">
        <v>400000</v>
      </c>
      <c r="E84" s="42">
        <v>400000</v>
      </c>
      <c r="F84" s="108">
        <v>0</v>
      </c>
      <c r="G84" s="391" t="s">
        <v>271</v>
      </c>
      <c r="H84" s="108"/>
      <c r="I84" s="108"/>
      <c r="J84" s="108"/>
      <c r="K84" s="108"/>
      <c r="L84" s="333"/>
      <c r="M84" s="452">
        <f>E84-L84</f>
        <v>400000</v>
      </c>
      <c r="N84" s="108">
        <f>L84*100/E85</f>
        <v>0</v>
      </c>
      <c r="O84" s="108"/>
      <c r="P84" s="66" t="s">
        <v>104</v>
      </c>
      <c r="Q84" s="88"/>
      <c r="R84" s="25" t="e">
        <f>#REF!</f>
        <v>#REF!</v>
      </c>
      <c r="T84" s="438"/>
    </row>
    <row r="85" spans="1:20" s="111" customFormat="1" x14ac:dyDescent="0.35">
      <c r="A85" s="109"/>
      <c r="B85" s="489" t="s">
        <v>126</v>
      </c>
      <c r="C85" s="490"/>
      <c r="D85" s="86">
        <f>SUM(D86:D90)</f>
        <v>1898500</v>
      </c>
      <c r="E85" s="86">
        <f>SUM(E86:E90)</f>
        <v>1898500</v>
      </c>
      <c r="F85" s="86">
        <f>SUM(F86:F90)</f>
        <v>0</v>
      </c>
      <c r="G85" s="86"/>
      <c r="H85" s="86"/>
      <c r="I85" s="86"/>
      <c r="J85" s="86">
        <f t="shared" ref="J85:O85" si="38">SUM(J86:J90)</f>
        <v>0</v>
      </c>
      <c r="K85" s="86">
        <f t="shared" si="38"/>
        <v>0</v>
      </c>
      <c r="L85" s="86">
        <f t="shared" si="38"/>
        <v>661930</v>
      </c>
      <c r="M85" s="429">
        <f>M86+M87+M88+M89+M90</f>
        <v>1236570</v>
      </c>
      <c r="N85" s="382">
        <f>L85*100/M85</f>
        <v>53.529521175509679</v>
      </c>
      <c r="O85" s="86">
        <f t="shared" si="38"/>
        <v>0</v>
      </c>
      <c r="P85" s="417"/>
      <c r="Q85" s="110"/>
      <c r="R85" s="25" t="e">
        <f>#REF!</f>
        <v>#REF!</v>
      </c>
      <c r="T85" s="438"/>
    </row>
    <row r="86" spans="1:20" s="89" customFormat="1" ht="34.5" x14ac:dyDescent="0.35">
      <c r="A86" s="6">
        <v>60</v>
      </c>
      <c r="B86" s="477" t="s">
        <v>105</v>
      </c>
      <c r="C86" s="478"/>
      <c r="D86" s="90">
        <f>E86+F86</f>
        <v>453350</v>
      </c>
      <c r="E86" s="90">
        <v>453350</v>
      </c>
      <c r="F86" s="90">
        <v>0</v>
      </c>
      <c r="G86" s="388" t="s">
        <v>271</v>
      </c>
      <c r="H86" s="90"/>
      <c r="I86" s="90"/>
      <c r="J86" s="90"/>
      <c r="K86" s="90"/>
      <c r="L86" s="340">
        <f>56000+5100+56000</f>
        <v>117100</v>
      </c>
      <c r="M86" s="356">
        <f>E86-L86</f>
        <v>336250</v>
      </c>
      <c r="N86" s="340">
        <f>L86*100/E87</f>
        <v>15.439382952073307</v>
      </c>
      <c r="O86" s="90"/>
      <c r="P86" s="199" t="s">
        <v>106</v>
      </c>
      <c r="Q86" s="88"/>
      <c r="R86" s="25" t="e">
        <f>#REF!</f>
        <v>#REF!</v>
      </c>
      <c r="T86" s="438"/>
    </row>
    <row r="87" spans="1:20" s="89" customFormat="1" ht="48" customHeight="1" x14ac:dyDescent="0.35">
      <c r="A87" s="7">
        <v>61</v>
      </c>
      <c r="B87" s="477" t="s">
        <v>167</v>
      </c>
      <c r="C87" s="478"/>
      <c r="D87" s="90">
        <f t="shared" ref="D87:D94" si="39">E87+F87</f>
        <v>758450</v>
      </c>
      <c r="E87" s="90">
        <v>758450</v>
      </c>
      <c r="F87" s="90"/>
      <c r="G87" s="388" t="s">
        <v>271</v>
      </c>
      <c r="H87" s="90"/>
      <c r="I87" s="90"/>
      <c r="J87" s="90"/>
      <c r="K87" s="90"/>
      <c r="L87" s="340">
        <f>23700+23700+23700+118450+16200+24300+24300+16200+16200+16200+76800+5000+1725+5000+20500+76800+20550+1725</f>
        <v>511050</v>
      </c>
      <c r="M87" s="356">
        <f>E87-L87</f>
        <v>247400</v>
      </c>
      <c r="N87" s="340">
        <f>L87*100/E87</f>
        <v>67.380842507746067</v>
      </c>
      <c r="O87" s="90"/>
      <c r="P87" s="199" t="s">
        <v>106</v>
      </c>
      <c r="Q87" s="88"/>
      <c r="R87" s="25" t="e">
        <f t="shared" ref="R87:R91" si="40">R86</f>
        <v>#REF!</v>
      </c>
      <c r="T87" s="438"/>
    </row>
    <row r="88" spans="1:20" s="89" customFormat="1" ht="34.5" x14ac:dyDescent="0.35">
      <c r="A88" s="7">
        <v>62</v>
      </c>
      <c r="B88" s="477" t="s">
        <v>30</v>
      </c>
      <c r="C88" s="478"/>
      <c r="D88" s="90">
        <f t="shared" si="39"/>
        <v>420000</v>
      </c>
      <c r="E88" s="90">
        <v>420000</v>
      </c>
      <c r="F88" s="90">
        <v>0</v>
      </c>
      <c r="G88" s="388" t="s">
        <v>271</v>
      </c>
      <c r="H88" s="90"/>
      <c r="I88" s="90"/>
      <c r="J88" s="90"/>
      <c r="K88" s="90"/>
      <c r="L88" s="340"/>
      <c r="M88" s="356">
        <f t="shared" ref="M88:M90" si="41">E88-L88</f>
        <v>420000</v>
      </c>
      <c r="N88" s="340">
        <f>L88*100/E88</f>
        <v>0</v>
      </c>
      <c r="O88" s="90"/>
      <c r="P88" s="199" t="s">
        <v>106</v>
      </c>
      <c r="Q88" s="88"/>
      <c r="R88" s="25" t="e">
        <f t="shared" si="40"/>
        <v>#REF!</v>
      </c>
      <c r="T88" s="438"/>
    </row>
    <row r="89" spans="1:20" s="89" customFormat="1" ht="34.5" x14ac:dyDescent="0.35">
      <c r="A89" s="7">
        <v>63</v>
      </c>
      <c r="B89" s="477" t="s">
        <v>107</v>
      </c>
      <c r="C89" s="478"/>
      <c r="D89" s="90">
        <f t="shared" si="39"/>
        <v>150300</v>
      </c>
      <c r="E89" s="90">
        <v>150300</v>
      </c>
      <c r="F89" s="90">
        <v>0</v>
      </c>
      <c r="G89" s="388" t="s">
        <v>271</v>
      </c>
      <c r="H89" s="90"/>
      <c r="I89" s="90"/>
      <c r="J89" s="90"/>
      <c r="K89" s="90"/>
      <c r="L89" s="340">
        <f>33780</f>
        <v>33780</v>
      </c>
      <c r="M89" s="356">
        <f t="shared" si="41"/>
        <v>116520</v>
      </c>
      <c r="N89" s="340">
        <f>L89*100/E89</f>
        <v>22.4750499001996</v>
      </c>
      <c r="O89" s="90"/>
      <c r="P89" s="199" t="s">
        <v>100</v>
      </c>
      <c r="Q89" s="88"/>
      <c r="R89" s="25" t="e">
        <f t="shared" si="40"/>
        <v>#REF!</v>
      </c>
      <c r="T89" s="438"/>
    </row>
    <row r="90" spans="1:20" s="89" customFormat="1" ht="34.5" x14ac:dyDescent="0.35">
      <c r="A90" s="7">
        <v>64</v>
      </c>
      <c r="B90" s="477" t="s">
        <v>29</v>
      </c>
      <c r="C90" s="478"/>
      <c r="D90" s="90">
        <f t="shared" si="39"/>
        <v>116400</v>
      </c>
      <c r="E90" s="90">
        <v>116400</v>
      </c>
      <c r="F90" s="90">
        <v>0</v>
      </c>
      <c r="G90" s="388" t="s">
        <v>271</v>
      </c>
      <c r="H90" s="90"/>
      <c r="I90" s="90"/>
      <c r="J90" s="90"/>
      <c r="K90" s="90"/>
      <c r="L90" s="340"/>
      <c r="M90" s="356">
        <f t="shared" si="41"/>
        <v>116400</v>
      </c>
      <c r="N90" s="340">
        <f>L90*100/E90</f>
        <v>0</v>
      </c>
      <c r="O90" s="90"/>
      <c r="P90" s="199" t="s">
        <v>78</v>
      </c>
      <c r="Q90" s="88"/>
      <c r="R90" s="25" t="e">
        <f t="shared" si="40"/>
        <v>#REF!</v>
      </c>
      <c r="T90" s="438"/>
    </row>
    <row r="91" spans="1:20" s="89" customFormat="1" x14ac:dyDescent="0.35">
      <c r="A91" s="138"/>
      <c r="B91" s="475" t="s">
        <v>28</v>
      </c>
      <c r="C91" s="476"/>
      <c r="D91" s="112">
        <f>SUM(D92:D92)</f>
        <v>2700000</v>
      </c>
      <c r="E91" s="112">
        <f>SUM(E92:E92)</f>
        <v>2700000</v>
      </c>
      <c r="F91" s="112">
        <f>F92</f>
        <v>0</v>
      </c>
      <c r="G91" s="112"/>
      <c r="H91" s="112"/>
      <c r="I91" s="112"/>
      <c r="J91" s="112">
        <f t="shared" ref="J91:O91" si="42">J92</f>
        <v>0</v>
      </c>
      <c r="K91" s="112">
        <f t="shared" si="42"/>
        <v>0</v>
      </c>
      <c r="L91" s="383">
        <f t="shared" si="42"/>
        <v>99953</v>
      </c>
      <c r="M91" s="429">
        <f>M92</f>
        <v>2600047</v>
      </c>
      <c r="N91" s="383">
        <f>L91*100/E92</f>
        <v>3.7019629629629631</v>
      </c>
      <c r="O91" s="112">
        <f t="shared" si="42"/>
        <v>0</v>
      </c>
      <c r="P91" s="414"/>
      <c r="Q91" s="88"/>
      <c r="R91" s="25" t="e">
        <f t="shared" si="40"/>
        <v>#REF!</v>
      </c>
      <c r="T91" s="438"/>
    </row>
    <row r="92" spans="1:20" s="89" customFormat="1" ht="46.5" customHeight="1" x14ac:dyDescent="0.35">
      <c r="A92" s="6">
        <v>65</v>
      </c>
      <c r="B92" s="477" t="s">
        <v>168</v>
      </c>
      <c r="C92" s="478"/>
      <c r="D92" s="90">
        <f t="shared" si="39"/>
        <v>2700000</v>
      </c>
      <c r="E92" s="113">
        <v>2700000</v>
      </c>
      <c r="F92" s="113">
        <v>0</v>
      </c>
      <c r="G92" s="388" t="s">
        <v>271</v>
      </c>
      <c r="H92" s="113"/>
      <c r="I92" s="113"/>
      <c r="J92" s="113"/>
      <c r="K92" s="113"/>
      <c r="L92" s="343">
        <f>44464+41864+3725+1100+800+8000</f>
        <v>99953</v>
      </c>
      <c r="M92" s="356">
        <f>E92-L92</f>
        <v>2600047</v>
      </c>
      <c r="N92" s="343">
        <f t="shared" ref="N92:N113" si="43">L92*100/E92</f>
        <v>3.7019629629629631</v>
      </c>
      <c r="O92" s="113"/>
      <c r="P92" s="201" t="s">
        <v>108</v>
      </c>
      <c r="Q92" s="88"/>
      <c r="R92" s="25" t="e">
        <f>#REF!</f>
        <v>#REF!</v>
      </c>
      <c r="T92" s="438"/>
    </row>
    <row r="93" spans="1:20" s="85" customFormat="1" ht="21" customHeight="1" x14ac:dyDescent="0.35">
      <c r="A93" s="479" t="s">
        <v>109</v>
      </c>
      <c r="B93" s="480"/>
      <c r="C93" s="481"/>
      <c r="D93" s="114">
        <f>+D95+D97</f>
        <v>10200000</v>
      </c>
      <c r="E93" s="114">
        <f>+E95+E97</f>
        <v>10200000</v>
      </c>
      <c r="F93" s="114">
        <f>+F95+F97</f>
        <v>0</v>
      </c>
      <c r="G93" s="114"/>
      <c r="H93" s="114"/>
      <c r="I93" s="114"/>
      <c r="J93" s="114">
        <f t="shared" ref="J93:O93" si="44">J94</f>
        <v>0</v>
      </c>
      <c r="K93" s="114">
        <f t="shared" si="44"/>
        <v>0</v>
      </c>
      <c r="L93" s="114">
        <f t="shared" si="44"/>
        <v>650000</v>
      </c>
      <c r="M93" s="430">
        <f>M94</f>
        <v>9550000</v>
      </c>
      <c r="N93" s="386">
        <f t="shared" si="43"/>
        <v>6.3725490196078427</v>
      </c>
      <c r="O93" s="114">
        <f t="shared" si="44"/>
        <v>0</v>
      </c>
      <c r="P93" s="418"/>
      <c r="Q93" s="84"/>
      <c r="R93" s="25" t="e">
        <f>#REF!</f>
        <v>#REF!</v>
      </c>
      <c r="T93" s="438"/>
    </row>
    <row r="94" spans="1:20" s="120" customFormat="1" ht="21" customHeight="1" x14ac:dyDescent="0.35">
      <c r="A94" s="482" t="s">
        <v>27</v>
      </c>
      <c r="B94" s="483"/>
      <c r="C94" s="484"/>
      <c r="D94" s="116">
        <f t="shared" si="39"/>
        <v>10200000</v>
      </c>
      <c r="E94" s="117">
        <f>E95+E97</f>
        <v>10200000</v>
      </c>
      <c r="F94" s="117">
        <f t="shared" ref="F94:O94" si="45">F95+F97</f>
        <v>0</v>
      </c>
      <c r="G94" s="117"/>
      <c r="H94" s="117"/>
      <c r="I94" s="117"/>
      <c r="J94" s="117">
        <f t="shared" si="45"/>
        <v>0</v>
      </c>
      <c r="K94" s="117">
        <f t="shared" si="45"/>
        <v>0</v>
      </c>
      <c r="L94" s="117">
        <f t="shared" si="45"/>
        <v>650000</v>
      </c>
      <c r="M94" s="117">
        <f t="shared" si="45"/>
        <v>9550000</v>
      </c>
      <c r="N94" s="385">
        <f t="shared" si="43"/>
        <v>6.3725490196078427</v>
      </c>
      <c r="O94" s="117">
        <f t="shared" si="45"/>
        <v>0</v>
      </c>
      <c r="P94" s="419"/>
      <c r="Q94" s="16"/>
      <c r="R94" s="25" t="e">
        <f t="shared" ref="R94:R113" si="46">R93</f>
        <v>#REF!</v>
      </c>
      <c r="T94" s="438"/>
    </row>
    <row r="95" spans="1:20" s="56" customFormat="1" x14ac:dyDescent="0.35">
      <c r="A95" s="5"/>
      <c r="B95" s="485" t="s">
        <v>26</v>
      </c>
      <c r="C95" s="486"/>
      <c r="D95" s="116">
        <f>E95+F95</f>
        <v>600000</v>
      </c>
      <c r="E95" s="121">
        <f>E96</f>
        <v>600000</v>
      </c>
      <c r="F95" s="122">
        <f>F96</f>
        <v>0</v>
      </c>
      <c r="G95" s="122"/>
      <c r="H95" s="122"/>
      <c r="I95" s="122"/>
      <c r="J95" s="122">
        <f t="shared" ref="J95:O95" si="47">J96</f>
        <v>0</v>
      </c>
      <c r="K95" s="122">
        <f t="shared" si="47"/>
        <v>0</v>
      </c>
      <c r="L95" s="122">
        <f t="shared" si="47"/>
        <v>0</v>
      </c>
      <c r="M95" s="431">
        <f>M96</f>
        <v>600000</v>
      </c>
      <c r="N95" s="122">
        <f t="shared" si="43"/>
        <v>0</v>
      </c>
      <c r="O95" s="122">
        <f t="shared" si="47"/>
        <v>0</v>
      </c>
      <c r="P95" s="420"/>
      <c r="Q95" s="55"/>
      <c r="R95" s="25" t="e">
        <f>#REF!</f>
        <v>#REF!</v>
      </c>
      <c r="T95" s="438"/>
    </row>
    <row r="96" spans="1:20" s="56" customFormat="1" ht="34.5" x14ac:dyDescent="0.35">
      <c r="A96" s="4">
        <v>66</v>
      </c>
      <c r="B96" s="487" t="s">
        <v>25</v>
      </c>
      <c r="C96" s="488"/>
      <c r="D96" s="90">
        <f>E96+F96</f>
        <v>600000</v>
      </c>
      <c r="E96" s="90">
        <v>600000</v>
      </c>
      <c r="F96" s="90">
        <v>0</v>
      </c>
      <c r="G96" s="388" t="s">
        <v>271</v>
      </c>
      <c r="H96" s="228"/>
      <c r="I96" s="228"/>
      <c r="J96" s="228"/>
      <c r="K96" s="228"/>
      <c r="L96" s="344"/>
      <c r="M96" s="356">
        <f>E96-L96</f>
        <v>600000</v>
      </c>
      <c r="N96" s="228">
        <f t="shared" si="43"/>
        <v>0</v>
      </c>
      <c r="O96" s="228"/>
      <c r="P96" s="204" t="s">
        <v>110</v>
      </c>
      <c r="Q96" s="55"/>
      <c r="R96" s="25" t="e">
        <f>#REF!</f>
        <v>#REF!</v>
      </c>
      <c r="T96" s="438"/>
    </row>
    <row r="97" spans="1:20" s="62" customFormat="1" x14ac:dyDescent="0.35">
      <c r="A97" s="3"/>
      <c r="B97" s="473" t="s">
        <v>24</v>
      </c>
      <c r="C97" s="474"/>
      <c r="D97" s="124">
        <f>SUM(D98:D113)</f>
        <v>9600000</v>
      </c>
      <c r="E97" s="125">
        <f>SUM(E98:E113)</f>
        <v>9600000</v>
      </c>
      <c r="F97" s="125">
        <f t="shared" ref="F97:O97" si="48">SUM(F98:F113)</f>
        <v>0</v>
      </c>
      <c r="G97" s="125"/>
      <c r="H97" s="125"/>
      <c r="I97" s="125"/>
      <c r="J97" s="125">
        <f t="shared" si="48"/>
        <v>0</v>
      </c>
      <c r="K97" s="125">
        <f t="shared" si="48"/>
        <v>0</v>
      </c>
      <c r="L97" s="125">
        <f t="shared" si="48"/>
        <v>650000</v>
      </c>
      <c r="M97" s="125">
        <f t="shared" si="48"/>
        <v>8950000</v>
      </c>
      <c r="N97" s="384">
        <f t="shared" si="43"/>
        <v>6.770833333333333</v>
      </c>
      <c r="O97" s="125">
        <f t="shared" si="48"/>
        <v>0</v>
      </c>
      <c r="P97" s="421"/>
      <c r="Q97" s="61"/>
      <c r="R97" s="25" t="e">
        <f t="shared" si="46"/>
        <v>#REF!</v>
      </c>
      <c r="T97" s="438"/>
    </row>
    <row r="98" spans="1:20" s="56" customFormat="1" ht="78.75" customHeight="1" x14ac:dyDescent="0.35">
      <c r="A98" s="2">
        <v>67</v>
      </c>
      <c r="B98" s="466" t="s">
        <v>23</v>
      </c>
      <c r="C98" s="467"/>
      <c r="D98" s="90">
        <f>E98+F98</f>
        <v>500000</v>
      </c>
      <c r="E98" s="76">
        <v>500000</v>
      </c>
      <c r="F98" s="127">
        <v>0</v>
      </c>
      <c r="G98" s="404" t="s">
        <v>326</v>
      </c>
      <c r="H98" s="229"/>
      <c r="I98" s="229"/>
      <c r="J98" s="229"/>
      <c r="K98" s="229"/>
      <c r="L98" s="345">
        <f>120000+130000</f>
        <v>250000</v>
      </c>
      <c r="M98" s="356">
        <f>E98-L98</f>
        <v>250000</v>
      </c>
      <c r="N98" s="345">
        <f t="shared" si="43"/>
        <v>50</v>
      </c>
      <c r="O98" s="229"/>
      <c r="P98" s="128" t="s">
        <v>111</v>
      </c>
      <c r="Q98" s="55"/>
      <c r="R98" s="25" t="e">
        <f>#REF!</f>
        <v>#REF!</v>
      </c>
      <c r="T98" s="438"/>
    </row>
    <row r="99" spans="1:20" s="56" customFormat="1" ht="34.5" x14ac:dyDescent="0.35">
      <c r="A99" s="2">
        <v>68</v>
      </c>
      <c r="B99" s="466" t="s">
        <v>22</v>
      </c>
      <c r="C99" s="467"/>
      <c r="D99" s="90">
        <f t="shared" ref="D99:D113" si="49">E99+F99</f>
        <v>400000</v>
      </c>
      <c r="E99" s="76">
        <v>400000</v>
      </c>
      <c r="F99" s="127">
        <v>0</v>
      </c>
      <c r="G99" s="388" t="s">
        <v>271</v>
      </c>
      <c r="H99" s="229"/>
      <c r="I99" s="229"/>
      <c r="J99" s="229"/>
      <c r="K99" s="229"/>
      <c r="L99" s="345">
        <f>2500+60000</f>
        <v>62500</v>
      </c>
      <c r="M99" s="356">
        <f t="shared" ref="M99:M113" si="50">E99-L99</f>
        <v>337500</v>
      </c>
      <c r="N99" s="345">
        <f t="shared" si="43"/>
        <v>15.625</v>
      </c>
      <c r="O99" s="229"/>
      <c r="P99" s="129" t="s">
        <v>13</v>
      </c>
      <c r="Q99" s="55"/>
      <c r="R99" s="25" t="e">
        <f t="shared" si="46"/>
        <v>#REF!</v>
      </c>
      <c r="T99" s="438"/>
    </row>
    <row r="100" spans="1:20" s="56" customFormat="1" ht="34.5" x14ac:dyDescent="0.35">
      <c r="A100" s="2">
        <v>69</v>
      </c>
      <c r="B100" s="466" t="s">
        <v>21</v>
      </c>
      <c r="C100" s="467"/>
      <c r="D100" s="90">
        <f t="shared" si="49"/>
        <v>500000</v>
      </c>
      <c r="E100" s="76">
        <v>500000</v>
      </c>
      <c r="F100" s="127">
        <v>0</v>
      </c>
      <c r="G100" s="388" t="s">
        <v>271</v>
      </c>
      <c r="H100" s="229"/>
      <c r="I100" s="229"/>
      <c r="J100" s="229"/>
      <c r="K100" s="229"/>
      <c r="L100" s="345"/>
      <c r="M100" s="356">
        <f t="shared" si="50"/>
        <v>500000</v>
      </c>
      <c r="N100" s="229">
        <f t="shared" si="43"/>
        <v>0</v>
      </c>
      <c r="O100" s="229"/>
      <c r="P100" s="129" t="s">
        <v>112</v>
      </c>
      <c r="Q100" s="55"/>
      <c r="R100" s="25" t="e">
        <f t="shared" si="46"/>
        <v>#REF!</v>
      </c>
      <c r="T100" s="438"/>
    </row>
    <row r="101" spans="1:20" s="56" customFormat="1" ht="34.5" x14ac:dyDescent="0.35">
      <c r="A101" s="2">
        <v>70</v>
      </c>
      <c r="B101" s="466" t="s">
        <v>20</v>
      </c>
      <c r="C101" s="467"/>
      <c r="D101" s="90">
        <f t="shared" si="49"/>
        <v>500000</v>
      </c>
      <c r="E101" s="76">
        <v>500000</v>
      </c>
      <c r="F101" s="127">
        <v>0</v>
      </c>
      <c r="G101" s="388" t="s">
        <v>271</v>
      </c>
      <c r="H101" s="229"/>
      <c r="I101" s="229"/>
      <c r="J101" s="229"/>
      <c r="K101" s="229"/>
      <c r="L101" s="345"/>
      <c r="M101" s="356">
        <f t="shared" si="50"/>
        <v>500000</v>
      </c>
      <c r="N101" s="229">
        <f t="shared" si="43"/>
        <v>0</v>
      </c>
      <c r="O101" s="229"/>
      <c r="P101" s="128" t="s">
        <v>2</v>
      </c>
      <c r="Q101" s="55"/>
      <c r="R101" s="25" t="e">
        <f t="shared" si="46"/>
        <v>#REF!</v>
      </c>
      <c r="T101" s="438"/>
    </row>
    <row r="102" spans="1:20" s="56" customFormat="1" ht="34.5" x14ac:dyDescent="0.35">
      <c r="A102" s="2">
        <v>71</v>
      </c>
      <c r="B102" s="466" t="s">
        <v>19</v>
      </c>
      <c r="C102" s="467"/>
      <c r="D102" s="90">
        <f t="shared" si="49"/>
        <v>500000</v>
      </c>
      <c r="E102" s="76">
        <v>500000</v>
      </c>
      <c r="F102" s="127">
        <v>0</v>
      </c>
      <c r="G102" s="388" t="s">
        <v>271</v>
      </c>
      <c r="H102" s="229"/>
      <c r="I102" s="229"/>
      <c r="J102" s="229"/>
      <c r="K102" s="229"/>
      <c r="L102" s="345"/>
      <c r="M102" s="356">
        <f t="shared" si="50"/>
        <v>500000</v>
      </c>
      <c r="N102" s="229">
        <f t="shared" si="43"/>
        <v>0</v>
      </c>
      <c r="O102" s="229"/>
      <c r="P102" s="129" t="s">
        <v>2</v>
      </c>
      <c r="Q102" s="55"/>
      <c r="R102" s="25" t="e">
        <f t="shared" si="46"/>
        <v>#REF!</v>
      </c>
      <c r="T102" s="438"/>
    </row>
    <row r="103" spans="1:20" s="56" customFormat="1" ht="34.5" x14ac:dyDescent="0.35">
      <c r="A103" s="2">
        <v>72</v>
      </c>
      <c r="B103" s="466" t="s">
        <v>18</v>
      </c>
      <c r="C103" s="467"/>
      <c r="D103" s="90">
        <f t="shared" si="49"/>
        <v>500000</v>
      </c>
      <c r="E103" s="76">
        <v>500000</v>
      </c>
      <c r="F103" s="127">
        <v>0</v>
      </c>
      <c r="G103" s="388" t="s">
        <v>271</v>
      </c>
      <c r="H103" s="229"/>
      <c r="I103" s="229"/>
      <c r="J103" s="229"/>
      <c r="K103" s="229"/>
      <c r="L103" s="345"/>
      <c r="M103" s="356">
        <f t="shared" si="50"/>
        <v>500000</v>
      </c>
      <c r="N103" s="229">
        <f t="shared" si="43"/>
        <v>0</v>
      </c>
      <c r="O103" s="229"/>
      <c r="P103" s="129" t="s">
        <v>113</v>
      </c>
      <c r="Q103" s="55"/>
      <c r="R103" s="25" t="e">
        <f t="shared" si="46"/>
        <v>#REF!</v>
      </c>
      <c r="T103" s="438"/>
    </row>
    <row r="104" spans="1:20" s="30" customFormat="1" ht="34.5" x14ac:dyDescent="0.35">
      <c r="A104" s="2">
        <v>73</v>
      </c>
      <c r="B104" s="471" t="s">
        <v>17</v>
      </c>
      <c r="C104" s="472"/>
      <c r="D104" s="90">
        <f t="shared" si="49"/>
        <v>1400000</v>
      </c>
      <c r="E104" s="76">
        <v>1400000</v>
      </c>
      <c r="F104" s="127">
        <v>0</v>
      </c>
      <c r="G104" s="388" t="s">
        <v>271</v>
      </c>
      <c r="H104" s="229"/>
      <c r="I104" s="229"/>
      <c r="J104" s="229"/>
      <c r="K104" s="229"/>
      <c r="L104" s="345"/>
      <c r="M104" s="356">
        <f t="shared" si="50"/>
        <v>1400000</v>
      </c>
      <c r="N104" s="229">
        <f t="shared" si="43"/>
        <v>0</v>
      </c>
      <c r="O104" s="229"/>
      <c r="P104" s="129" t="s">
        <v>114</v>
      </c>
      <c r="Q104" s="29"/>
      <c r="R104" s="25" t="e">
        <f t="shared" si="46"/>
        <v>#REF!</v>
      </c>
      <c r="T104" s="438"/>
    </row>
    <row r="105" spans="1:20" s="56" customFormat="1" ht="34.5" x14ac:dyDescent="0.35">
      <c r="A105" s="2">
        <v>74</v>
      </c>
      <c r="B105" s="466" t="s">
        <v>16</v>
      </c>
      <c r="C105" s="467"/>
      <c r="D105" s="90">
        <f t="shared" si="49"/>
        <v>500000</v>
      </c>
      <c r="E105" s="76">
        <v>500000</v>
      </c>
      <c r="F105" s="127">
        <v>0</v>
      </c>
      <c r="G105" s="388" t="s">
        <v>271</v>
      </c>
      <c r="H105" s="229"/>
      <c r="I105" s="229"/>
      <c r="J105" s="229"/>
      <c r="K105" s="229"/>
      <c r="L105" s="345"/>
      <c r="M105" s="356">
        <f t="shared" si="50"/>
        <v>500000</v>
      </c>
      <c r="N105" s="229">
        <f t="shared" si="43"/>
        <v>0</v>
      </c>
      <c r="O105" s="229"/>
      <c r="P105" s="128" t="s">
        <v>15</v>
      </c>
      <c r="Q105" s="55"/>
      <c r="R105" s="25" t="e">
        <f t="shared" si="46"/>
        <v>#REF!</v>
      </c>
      <c r="T105" s="438"/>
    </row>
    <row r="106" spans="1:20" s="56" customFormat="1" ht="34.5" x14ac:dyDescent="0.35">
      <c r="A106" s="2">
        <v>75</v>
      </c>
      <c r="B106" s="466" t="s">
        <v>325</v>
      </c>
      <c r="C106" s="467"/>
      <c r="D106" s="90">
        <f t="shared" si="49"/>
        <v>500000</v>
      </c>
      <c r="E106" s="76">
        <v>500000</v>
      </c>
      <c r="F106" s="127">
        <v>0</v>
      </c>
      <c r="G106" s="388" t="s">
        <v>271</v>
      </c>
      <c r="H106" s="229"/>
      <c r="I106" s="229"/>
      <c r="J106" s="229"/>
      <c r="K106" s="450"/>
      <c r="L106" s="345">
        <f>25000+34500+20000+240000+18000</f>
        <v>337500</v>
      </c>
      <c r="M106" s="350">
        <f t="shared" si="50"/>
        <v>162500</v>
      </c>
      <c r="N106" s="345">
        <f t="shared" si="43"/>
        <v>67.5</v>
      </c>
      <c r="O106" s="229"/>
      <c r="P106" s="128" t="s">
        <v>13</v>
      </c>
      <c r="Q106" s="55"/>
      <c r="R106" s="25" t="e">
        <f t="shared" si="46"/>
        <v>#REF!</v>
      </c>
      <c r="T106" s="438"/>
    </row>
    <row r="107" spans="1:20" s="56" customFormat="1" ht="34.5" x14ac:dyDescent="0.35">
      <c r="A107" s="2">
        <v>76</v>
      </c>
      <c r="B107" s="466" t="s">
        <v>12</v>
      </c>
      <c r="C107" s="467"/>
      <c r="D107" s="90">
        <f t="shared" si="49"/>
        <v>1000000</v>
      </c>
      <c r="E107" s="76">
        <v>1000000</v>
      </c>
      <c r="F107" s="127">
        <v>0</v>
      </c>
      <c r="G107" s="388" t="s">
        <v>271</v>
      </c>
      <c r="H107" s="229"/>
      <c r="I107" s="229"/>
      <c r="J107" s="229"/>
      <c r="K107" s="229"/>
      <c r="L107" s="345"/>
      <c r="M107" s="356">
        <f t="shared" si="50"/>
        <v>1000000</v>
      </c>
      <c r="N107" s="229">
        <f t="shared" si="43"/>
        <v>0</v>
      </c>
      <c r="O107" s="229"/>
      <c r="P107" s="128" t="s">
        <v>6</v>
      </c>
      <c r="Q107" s="55"/>
      <c r="R107" s="25" t="e">
        <f>#REF!</f>
        <v>#REF!</v>
      </c>
      <c r="T107" s="438"/>
    </row>
    <row r="108" spans="1:20" s="56" customFormat="1" ht="34.5" x14ac:dyDescent="0.35">
      <c r="A108" s="2">
        <v>77</v>
      </c>
      <c r="B108" s="466" t="s">
        <v>11</v>
      </c>
      <c r="C108" s="467"/>
      <c r="D108" s="90">
        <f t="shared" si="49"/>
        <v>500000</v>
      </c>
      <c r="E108" s="76">
        <v>500000</v>
      </c>
      <c r="F108" s="127">
        <v>0</v>
      </c>
      <c r="G108" s="388" t="s">
        <v>271</v>
      </c>
      <c r="H108" s="229"/>
      <c r="I108" s="229"/>
      <c r="J108" s="229"/>
      <c r="K108" s="229"/>
      <c r="L108" s="345"/>
      <c r="M108" s="356">
        <f t="shared" si="50"/>
        <v>500000</v>
      </c>
      <c r="N108" s="229">
        <f t="shared" si="43"/>
        <v>0</v>
      </c>
      <c r="O108" s="229"/>
      <c r="P108" s="129" t="s">
        <v>10</v>
      </c>
      <c r="Q108" s="55"/>
      <c r="R108" s="25" t="e">
        <f t="shared" si="46"/>
        <v>#REF!</v>
      </c>
      <c r="T108" s="438"/>
    </row>
    <row r="109" spans="1:20" s="56" customFormat="1" ht="34.5" x14ac:dyDescent="0.35">
      <c r="A109" s="2">
        <v>78</v>
      </c>
      <c r="B109" s="466" t="s">
        <v>9</v>
      </c>
      <c r="C109" s="467"/>
      <c r="D109" s="90">
        <f t="shared" si="49"/>
        <v>500000</v>
      </c>
      <c r="E109" s="76">
        <v>500000</v>
      </c>
      <c r="F109" s="127">
        <v>0</v>
      </c>
      <c r="G109" s="388" t="s">
        <v>271</v>
      </c>
      <c r="H109" s="229"/>
      <c r="I109" s="229"/>
      <c r="J109" s="229"/>
      <c r="K109" s="229"/>
      <c r="L109" s="345"/>
      <c r="M109" s="356">
        <f t="shared" si="50"/>
        <v>500000</v>
      </c>
      <c r="N109" s="229">
        <f t="shared" si="43"/>
        <v>0</v>
      </c>
      <c r="O109" s="229"/>
      <c r="P109" s="128" t="s">
        <v>8</v>
      </c>
      <c r="Q109" s="55"/>
      <c r="R109" s="25" t="e">
        <f t="shared" si="46"/>
        <v>#REF!</v>
      </c>
      <c r="T109" s="438"/>
    </row>
    <row r="110" spans="1:20" s="56" customFormat="1" ht="34.5" x14ac:dyDescent="0.35">
      <c r="A110" s="2">
        <v>79</v>
      </c>
      <c r="B110" s="466" t="s">
        <v>7</v>
      </c>
      <c r="C110" s="467"/>
      <c r="D110" s="90">
        <f t="shared" si="49"/>
        <v>500000</v>
      </c>
      <c r="E110" s="76">
        <v>500000</v>
      </c>
      <c r="F110" s="127">
        <v>0</v>
      </c>
      <c r="G110" s="388" t="s">
        <v>271</v>
      </c>
      <c r="H110" s="229"/>
      <c r="I110" s="229"/>
      <c r="J110" s="229"/>
      <c r="K110" s="229"/>
      <c r="L110" s="345"/>
      <c r="M110" s="356">
        <f t="shared" si="50"/>
        <v>500000</v>
      </c>
      <c r="N110" s="229">
        <f t="shared" si="43"/>
        <v>0</v>
      </c>
      <c r="O110" s="229"/>
      <c r="P110" s="128" t="s">
        <v>6</v>
      </c>
      <c r="Q110" s="55"/>
      <c r="R110" s="25" t="e">
        <f t="shared" si="46"/>
        <v>#REF!</v>
      </c>
      <c r="T110" s="438"/>
    </row>
    <row r="111" spans="1:20" s="56" customFormat="1" ht="34.5" x14ac:dyDescent="0.35">
      <c r="A111" s="2">
        <v>80</v>
      </c>
      <c r="B111" s="466" t="s">
        <v>5</v>
      </c>
      <c r="C111" s="467"/>
      <c r="D111" s="90">
        <f t="shared" si="49"/>
        <v>300000</v>
      </c>
      <c r="E111" s="76">
        <v>300000</v>
      </c>
      <c r="F111" s="127">
        <v>0</v>
      </c>
      <c r="G111" s="388" t="s">
        <v>271</v>
      </c>
      <c r="H111" s="229"/>
      <c r="I111" s="229"/>
      <c r="J111" s="229"/>
      <c r="K111" s="229"/>
      <c r="L111" s="345"/>
      <c r="M111" s="356">
        <f t="shared" si="50"/>
        <v>300000</v>
      </c>
      <c r="N111" s="229">
        <f t="shared" si="43"/>
        <v>0</v>
      </c>
      <c r="O111" s="229"/>
      <c r="P111" s="129" t="s">
        <v>115</v>
      </c>
      <c r="Q111" s="55"/>
      <c r="R111" s="25" t="e">
        <f t="shared" si="46"/>
        <v>#REF!</v>
      </c>
      <c r="T111" s="438"/>
    </row>
    <row r="112" spans="1:20" s="56" customFormat="1" ht="34.5" x14ac:dyDescent="0.35">
      <c r="A112" s="2">
        <v>81</v>
      </c>
      <c r="B112" s="466" t="s">
        <v>4</v>
      </c>
      <c r="C112" s="467"/>
      <c r="D112" s="90">
        <f t="shared" si="49"/>
        <v>500000</v>
      </c>
      <c r="E112" s="76">
        <v>500000</v>
      </c>
      <c r="F112" s="127">
        <v>0</v>
      </c>
      <c r="G112" s="388" t="s">
        <v>327</v>
      </c>
      <c r="H112" s="229"/>
      <c r="I112" s="229"/>
      <c r="J112" s="229"/>
      <c r="K112" s="229"/>
      <c r="L112" s="345"/>
      <c r="M112" s="356">
        <f t="shared" si="50"/>
        <v>500000</v>
      </c>
      <c r="N112" s="229">
        <f t="shared" si="43"/>
        <v>0</v>
      </c>
      <c r="O112" s="229"/>
      <c r="P112" s="128" t="s">
        <v>112</v>
      </c>
      <c r="Q112" s="55"/>
      <c r="R112" s="25" t="e">
        <f>#REF!</f>
        <v>#REF!</v>
      </c>
      <c r="T112" s="438"/>
    </row>
    <row r="113" spans="1:20" s="56" customFormat="1" ht="34.5" x14ac:dyDescent="0.35">
      <c r="A113" s="2">
        <v>82</v>
      </c>
      <c r="B113" s="466" t="s">
        <v>3</v>
      </c>
      <c r="C113" s="467"/>
      <c r="D113" s="90">
        <f t="shared" si="49"/>
        <v>1000000</v>
      </c>
      <c r="E113" s="76">
        <v>1000000</v>
      </c>
      <c r="F113" s="127">
        <v>0</v>
      </c>
      <c r="G113" s="388" t="s">
        <v>271</v>
      </c>
      <c r="H113" s="229"/>
      <c r="I113" s="229"/>
      <c r="J113" s="229"/>
      <c r="K113" s="229"/>
      <c r="L113" s="345"/>
      <c r="M113" s="428">
        <f t="shared" si="50"/>
        <v>1000000</v>
      </c>
      <c r="N113" s="229">
        <f t="shared" si="43"/>
        <v>0</v>
      </c>
      <c r="O113" s="229"/>
      <c r="P113" s="128" t="s">
        <v>2</v>
      </c>
      <c r="Q113" s="55"/>
      <c r="R113" s="25" t="e">
        <f t="shared" si="46"/>
        <v>#REF!</v>
      </c>
      <c r="T113" s="438"/>
    </row>
    <row r="114" spans="1:20" s="62" customFormat="1" x14ac:dyDescent="0.35">
      <c r="A114" s="590" t="s">
        <v>188</v>
      </c>
      <c r="B114" s="591"/>
      <c r="C114" s="592"/>
      <c r="D114" s="212">
        <f>D115</f>
        <v>9984000</v>
      </c>
      <c r="E114" s="212">
        <f t="shared" ref="E114:O114" si="51">E115</f>
        <v>0</v>
      </c>
      <c r="F114" s="212">
        <f t="shared" si="51"/>
        <v>9984000</v>
      </c>
      <c r="G114" s="212"/>
      <c r="H114" s="212"/>
      <c r="I114" s="212"/>
      <c r="J114" s="212">
        <f t="shared" si="51"/>
        <v>4735000</v>
      </c>
      <c r="K114" s="212">
        <f t="shared" si="51"/>
        <v>24000</v>
      </c>
      <c r="L114" s="212">
        <f t="shared" si="51"/>
        <v>0</v>
      </c>
      <c r="M114" s="212">
        <f t="shared" si="51"/>
        <v>9984000</v>
      </c>
      <c r="N114" s="212">
        <f>L114*100/F114</f>
        <v>0</v>
      </c>
      <c r="O114" s="212">
        <f t="shared" si="51"/>
        <v>0</v>
      </c>
      <c r="P114" s="422"/>
      <c r="Q114" s="61"/>
      <c r="R114" s="209"/>
      <c r="T114" s="438"/>
    </row>
    <row r="115" spans="1:20" s="30" customFormat="1" x14ac:dyDescent="0.35">
      <c r="A115" s="528" t="s">
        <v>59</v>
      </c>
      <c r="B115" s="529"/>
      <c r="C115" s="530"/>
      <c r="D115" s="136">
        <f>D117</f>
        <v>9984000</v>
      </c>
      <c r="E115" s="136">
        <f t="shared" ref="E115:O115" si="52">E117</f>
        <v>0</v>
      </c>
      <c r="F115" s="136">
        <f t="shared" si="52"/>
        <v>9984000</v>
      </c>
      <c r="G115" s="136"/>
      <c r="H115" s="136"/>
      <c r="I115" s="136"/>
      <c r="J115" s="136">
        <f t="shared" si="52"/>
        <v>4735000</v>
      </c>
      <c r="K115" s="136">
        <f>K117</f>
        <v>24000</v>
      </c>
      <c r="L115" s="136">
        <f t="shared" si="52"/>
        <v>0</v>
      </c>
      <c r="M115" s="136">
        <f t="shared" si="52"/>
        <v>9984000</v>
      </c>
      <c r="N115" s="136">
        <f>L115*100/F115</f>
        <v>0</v>
      </c>
      <c r="O115" s="136">
        <f t="shared" si="52"/>
        <v>0</v>
      </c>
      <c r="P115" s="423"/>
      <c r="Q115" s="28"/>
      <c r="R115" s="28"/>
      <c r="T115" s="438"/>
    </row>
    <row r="116" spans="1:20" s="26" customFormat="1" ht="48" customHeight="1" x14ac:dyDescent="0.35">
      <c r="A116" s="595" t="s">
        <v>70</v>
      </c>
      <c r="B116" s="596"/>
      <c r="C116" s="597"/>
      <c r="D116" s="32">
        <f>E116+F116</f>
        <v>9984000</v>
      </c>
      <c r="E116" s="31"/>
      <c r="F116" s="32">
        <f>F117</f>
        <v>9984000</v>
      </c>
      <c r="G116" s="32"/>
      <c r="H116" s="32"/>
      <c r="I116" s="32"/>
      <c r="J116" s="32">
        <f t="shared" ref="J116:O116" si="53">J117</f>
        <v>4735000</v>
      </c>
      <c r="K116" s="434">
        <f t="shared" ref="K116" si="54">K118</f>
        <v>24000</v>
      </c>
      <c r="L116" s="32">
        <f t="shared" si="53"/>
        <v>0</v>
      </c>
      <c r="M116" s="32">
        <f t="shared" si="53"/>
        <v>9984000</v>
      </c>
      <c r="N116" s="32">
        <f>L116*100/F116</f>
        <v>0</v>
      </c>
      <c r="O116" s="32">
        <f t="shared" si="53"/>
        <v>0</v>
      </c>
      <c r="P116" s="424"/>
      <c r="Q116" s="33"/>
      <c r="R116" s="33"/>
      <c r="T116" s="438"/>
    </row>
    <row r="117" spans="1:20" s="62" customFormat="1" x14ac:dyDescent="0.35">
      <c r="A117" s="57"/>
      <c r="B117" s="515" t="s">
        <v>89</v>
      </c>
      <c r="C117" s="516"/>
      <c r="D117" s="72">
        <f>D118+D119+D120</f>
        <v>9984000</v>
      </c>
      <c r="E117" s="72">
        <f t="shared" ref="E117:O117" si="55">E118+E119+E120</f>
        <v>0</v>
      </c>
      <c r="F117" s="72">
        <f t="shared" si="55"/>
        <v>9984000</v>
      </c>
      <c r="G117" s="72"/>
      <c r="H117" s="72"/>
      <c r="I117" s="72"/>
      <c r="J117" s="72">
        <f t="shared" si="55"/>
        <v>4735000</v>
      </c>
      <c r="K117" s="434">
        <f>K118</f>
        <v>24000</v>
      </c>
      <c r="L117" s="72">
        <f t="shared" si="55"/>
        <v>0</v>
      </c>
      <c r="M117" s="72">
        <f t="shared" si="55"/>
        <v>9984000</v>
      </c>
      <c r="N117" s="72">
        <f>L117*100/F117</f>
        <v>0</v>
      </c>
      <c r="O117" s="72">
        <f t="shared" si="55"/>
        <v>0</v>
      </c>
      <c r="P117" s="410"/>
      <c r="Q117" s="61"/>
      <c r="R117" s="25">
        <f t="shared" ref="R117" si="56">R116</f>
        <v>0</v>
      </c>
      <c r="T117" s="438"/>
    </row>
    <row r="118" spans="1:20" s="56" customFormat="1" ht="34.5" x14ac:dyDescent="0.35">
      <c r="A118" s="211">
        <v>83</v>
      </c>
      <c r="B118" s="593" t="s">
        <v>176</v>
      </c>
      <c r="C118" s="594"/>
      <c r="D118" s="90">
        <v>1484000</v>
      </c>
      <c r="E118" s="90">
        <v>0</v>
      </c>
      <c r="F118" s="127">
        <f>D118+E118</f>
        <v>1484000</v>
      </c>
      <c r="G118" s="391" t="s">
        <v>300</v>
      </c>
      <c r="H118" s="441"/>
      <c r="I118" s="441" t="s">
        <v>301</v>
      </c>
      <c r="J118" s="229">
        <v>1460000</v>
      </c>
      <c r="K118" s="436">
        <f>F118-J118</f>
        <v>24000</v>
      </c>
      <c r="L118" s="345"/>
      <c r="M118" s="356">
        <f>F118-L118</f>
        <v>1484000</v>
      </c>
      <c r="N118" s="229"/>
      <c r="O118" s="229"/>
      <c r="P118" s="66" t="s">
        <v>93</v>
      </c>
      <c r="Q118" s="55"/>
      <c r="R118" s="25"/>
      <c r="T118" s="438"/>
    </row>
    <row r="119" spans="1:20" s="56" customFormat="1" x14ac:dyDescent="0.35">
      <c r="A119" s="211">
        <v>84</v>
      </c>
      <c r="B119" s="593" t="s">
        <v>177</v>
      </c>
      <c r="C119" s="594"/>
      <c r="D119" s="90">
        <v>5200000</v>
      </c>
      <c r="E119" s="90">
        <v>0</v>
      </c>
      <c r="F119" s="127">
        <f t="shared" ref="F119:F120" si="57">D119+E119</f>
        <v>5200000</v>
      </c>
      <c r="G119" s="391" t="s">
        <v>333</v>
      </c>
      <c r="H119" s="229"/>
      <c r="I119" s="229"/>
      <c r="J119" s="229"/>
      <c r="K119" s="433">
        <f t="shared" ref="K119" si="58">K121</f>
        <v>0</v>
      </c>
      <c r="L119" s="345"/>
      <c r="M119" s="356">
        <f t="shared" ref="M119:M120" si="59">F119-L119</f>
        <v>5200000</v>
      </c>
      <c r="N119" s="229"/>
      <c r="O119" s="229"/>
      <c r="P119" s="66" t="s">
        <v>93</v>
      </c>
      <c r="Q119" s="55"/>
      <c r="R119" s="25"/>
      <c r="T119" s="438"/>
    </row>
    <row r="120" spans="1:20" s="56" customFormat="1" ht="34.5" x14ac:dyDescent="0.35">
      <c r="A120" s="211">
        <v>85</v>
      </c>
      <c r="B120" s="593" t="s">
        <v>178</v>
      </c>
      <c r="C120" s="594"/>
      <c r="D120" s="90">
        <v>3300000</v>
      </c>
      <c r="E120" s="90">
        <v>0</v>
      </c>
      <c r="F120" s="127">
        <f t="shared" si="57"/>
        <v>3300000</v>
      </c>
      <c r="G120" s="391" t="s">
        <v>300</v>
      </c>
      <c r="H120" s="229"/>
      <c r="I120" s="441" t="s">
        <v>301</v>
      </c>
      <c r="J120" s="229">
        <v>3275000</v>
      </c>
      <c r="K120" s="436">
        <f>F120-J120</f>
        <v>25000</v>
      </c>
      <c r="L120" s="345"/>
      <c r="M120" s="428">
        <f t="shared" si="59"/>
        <v>3300000</v>
      </c>
      <c r="N120" s="229"/>
      <c r="O120" s="229"/>
      <c r="P120" s="66" t="s">
        <v>93</v>
      </c>
      <c r="Q120" s="55"/>
      <c r="R120" s="25"/>
      <c r="T120" s="438"/>
    </row>
    <row r="121" spans="1:20" s="56" customFormat="1" ht="21" customHeight="1" x14ac:dyDescent="0.35">
      <c r="A121" s="468" t="s">
        <v>1</v>
      </c>
      <c r="B121" s="469"/>
      <c r="C121" s="470"/>
      <c r="D121" s="131">
        <v>8000000</v>
      </c>
      <c r="E121" s="132">
        <f>D121</f>
        <v>8000000</v>
      </c>
      <c r="F121" s="131">
        <v>0</v>
      </c>
      <c r="G121" s="131"/>
      <c r="H121" s="131"/>
      <c r="I121" s="131"/>
      <c r="J121" s="131"/>
      <c r="K121" s="131"/>
      <c r="L121" s="346">
        <f>'งบ 8 ล้าน'!C59</f>
        <v>813877.1</v>
      </c>
      <c r="M121" s="435">
        <f>E121-L121</f>
        <v>7186122.9000000004</v>
      </c>
      <c r="N121" s="346">
        <f>L121*100/E121</f>
        <v>10.17346375</v>
      </c>
      <c r="O121" s="131"/>
      <c r="P121" s="133"/>
      <c r="Q121" s="55"/>
      <c r="R121" s="25"/>
      <c r="T121" s="438"/>
    </row>
    <row r="122" spans="1:20" x14ac:dyDescent="0.35">
      <c r="A122" s="458" t="s">
        <v>117</v>
      </c>
      <c r="B122" s="459"/>
      <c r="C122" s="460"/>
      <c r="D122" s="21">
        <f t="shared" ref="D122:M122" si="60">D8+D52+D93+D121</f>
        <v>195006100</v>
      </c>
      <c r="E122" s="21">
        <f t="shared" si="60"/>
        <v>34732700</v>
      </c>
      <c r="F122" s="21">
        <f t="shared" si="60"/>
        <v>160273400</v>
      </c>
      <c r="G122" s="21">
        <f t="shared" si="60"/>
        <v>0</v>
      </c>
      <c r="H122" s="21">
        <f t="shared" si="60"/>
        <v>0</v>
      </c>
      <c r="I122" s="21">
        <f t="shared" si="60"/>
        <v>0</v>
      </c>
      <c r="J122" s="21">
        <f t="shared" si="60"/>
        <v>85920287.539999992</v>
      </c>
      <c r="K122" s="21">
        <f t="shared" si="60"/>
        <v>6090712.46</v>
      </c>
      <c r="L122" s="347">
        <f t="shared" si="60"/>
        <v>4444256.34</v>
      </c>
      <c r="M122" s="21">
        <f t="shared" si="60"/>
        <v>184888811.19999999</v>
      </c>
      <c r="N122" s="347">
        <f>L122*100/D122</f>
        <v>2.2790345225098085</v>
      </c>
      <c r="O122" s="21">
        <f>O7</f>
        <v>0</v>
      </c>
      <c r="P122" s="23"/>
      <c r="T122" s="438"/>
    </row>
  </sheetData>
  <mergeCells count="138"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A1:P1"/>
    <mergeCell ref="B19:C19"/>
    <mergeCell ref="B20:C20"/>
    <mergeCell ref="B21:C21"/>
    <mergeCell ref="B22:C22"/>
    <mergeCell ref="B23:C23"/>
    <mergeCell ref="B24:C24"/>
    <mergeCell ref="A4:C6"/>
    <mergeCell ref="B11:C11"/>
    <mergeCell ref="B12:C12"/>
    <mergeCell ref="B13:C13"/>
    <mergeCell ref="B14:C14"/>
    <mergeCell ref="B15:C15"/>
    <mergeCell ref="A7:C7"/>
    <mergeCell ref="A8:C8"/>
    <mergeCell ref="B10:C10"/>
    <mergeCell ref="B16:C16"/>
    <mergeCell ref="B17:C17"/>
    <mergeCell ref="B18:C18"/>
    <mergeCell ref="L4:N4"/>
    <mergeCell ref="O4:O6"/>
    <mergeCell ref="L5:L6"/>
    <mergeCell ref="M5:M6"/>
    <mergeCell ref="N5:N6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5:C45"/>
    <mergeCell ref="B46:C46"/>
    <mergeCell ref="B48:C48"/>
    <mergeCell ref="B49:C49"/>
    <mergeCell ref="B47:C47"/>
    <mergeCell ref="B37:C37"/>
    <mergeCell ref="B38:C38"/>
    <mergeCell ref="B39:C39"/>
    <mergeCell ref="B40:C40"/>
    <mergeCell ref="B43:C43"/>
    <mergeCell ref="B44:C44"/>
    <mergeCell ref="B61:C61"/>
    <mergeCell ref="B62:C62"/>
    <mergeCell ref="B65:C65"/>
    <mergeCell ref="B66:C66"/>
    <mergeCell ref="B67:C67"/>
    <mergeCell ref="B68:C68"/>
    <mergeCell ref="B50:C50"/>
    <mergeCell ref="B51:C51"/>
    <mergeCell ref="B56:C56"/>
    <mergeCell ref="B59:C59"/>
    <mergeCell ref="B60:C60"/>
    <mergeCell ref="A52:C52"/>
    <mergeCell ref="A53:C53"/>
    <mergeCell ref="B54:C54"/>
    <mergeCell ref="B55:C55"/>
    <mergeCell ref="B77:C77"/>
    <mergeCell ref="B78:C78"/>
    <mergeCell ref="B79:C79"/>
    <mergeCell ref="B80:C80"/>
    <mergeCell ref="B81:C81"/>
    <mergeCell ref="B82:C82"/>
    <mergeCell ref="B69:C69"/>
    <mergeCell ref="B70:C70"/>
    <mergeCell ref="B71:C71"/>
    <mergeCell ref="B72:C72"/>
    <mergeCell ref="B75:C75"/>
    <mergeCell ref="B76:C76"/>
    <mergeCell ref="B99:C99"/>
    <mergeCell ref="B89:C89"/>
    <mergeCell ref="B90:C90"/>
    <mergeCell ref="B91:C91"/>
    <mergeCell ref="B92:C92"/>
    <mergeCell ref="A93:C93"/>
    <mergeCell ref="B83:C83"/>
    <mergeCell ref="B84:C84"/>
    <mergeCell ref="B85:C85"/>
    <mergeCell ref="B86:C86"/>
    <mergeCell ref="B87:C87"/>
    <mergeCell ref="B88:C88"/>
    <mergeCell ref="A121:C121"/>
    <mergeCell ref="A122:C122"/>
    <mergeCell ref="A3:P3"/>
    <mergeCell ref="B41:C41"/>
    <mergeCell ref="B42:C42"/>
    <mergeCell ref="P4:P6"/>
    <mergeCell ref="A9:C9"/>
    <mergeCell ref="B106:C106"/>
    <mergeCell ref="B107:C107"/>
    <mergeCell ref="B108:C108"/>
    <mergeCell ref="B109:C109"/>
    <mergeCell ref="B110:C110"/>
    <mergeCell ref="B111:C111"/>
    <mergeCell ref="B100:C100"/>
    <mergeCell ref="B101:C101"/>
    <mergeCell ref="B102:C102"/>
    <mergeCell ref="B103:C103"/>
    <mergeCell ref="B104:C104"/>
    <mergeCell ref="B105:C105"/>
    <mergeCell ref="A94:C94"/>
    <mergeCell ref="B95:C95"/>
    <mergeCell ref="B96:C96"/>
    <mergeCell ref="B97:C97"/>
    <mergeCell ref="B98:C98"/>
    <mergeCell ref="A114:C114"/>
    <mergeCell ref="B118:C118"/>
    <mergeCell ref="B119:C119"/>
    <mergeCell ref="B120:C120"/>
    <mergeCell ref="A115:C115"/>
    <mergeCell ref="A116:C116"/>
    <mergeCell ref="B117:C117"/>
    <mergeCell ref="B112:C112"/>
    <mergeCell ref="B113:C113"/>
    <mergeCell ref="D4:F4"/>
    <mergeCell ref="D5:D6"/>
    <mergeCell ref="E5:E6"/>
    <mergeCell ref="F5:F6"/>
    <mergeCell ref="G5:G6"/>
    <mergeCell ref="H5:H6"/>
    <mergeCell ref="I5:I6"/>
    <mergeCell ref="K5:K6"/>
    <mergeCell ref="J5:J6"/>
    <mergeCell ref="G4:K4"/>
  </mergeCells>
  <pageMargins left="0.15748031496062992" right="7.874015748031496E-2" top="0.23622047244094491" bottom="0.19685039370078741" header="0.15748031496062992" footer="7.874015748031496E-2"/>
  <pageSetup paperSize="9" scale="60" orientation="landscape" verticalDpi="0" r:id="rId1"/>
  <headerFooter>
    <oddHeader>&amp;R&amp;"TH SarabunPSK,ธรรมดา"&amp;A</oddHeader>
    <oddFooter>&amp;C&amp;"TH SarabunPSK,ธรรมดา"&amp;12หน้าที่ &amp;P&amp;R&amp;"TH SarabunPSK,ธรรมดา"&amp;9&amp;Z&amp;F</oddFooter>
  </headerFooter>
  <rowBreaks count="6" manualBreakCount="6">
    <brk id="22" max="15" man="1"/>
    <brk id="34" max="15" man="1"/>
    <brk id="47" max="15" man="1"/>
    <brk id="66" max="15" man="1"/>
    <brk id="84" max="15" man="1"/>
    <brk id="106" max="15" man="1"/>
  </rowBreaks>
  <ignoredErrors>
    <ignoredError sqref="D16 D93 D91 D97 F38 D4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10" zoomScaleNormal="100" workbookViewId="0">
      <selection activeCell="C16" sqref="C16"/>
    </sheetView>
  </sheetViews>
  <sheetFormatPr defaultRowHeight="20.25" x14ac:dyDescent="0.3"/>
  <cols>
    <col min="1" max="1" width="53.875" style="230" customWidth="1"/>
    <col min="2" max="4" width="15" style="232" customWidth="1"/>
    <col min="5" max="5" width="8.375" style="232" bestFit="1" customWidth="1"/>
    <col min="6" max="6" width="11.75" style="230" customWidth="1"/>
    <col min="7" max="7" width="9" style="230" customWidth="1"/>
    <col min="8" max="8" width="15.5" style="230" customWidth="1"/>
    <col min="9" max="16384" width="9" style="230"/>
  </cols>
  <sheetData>
    <row r="1" spans="1:7" x14ac:dyDescent="0.3">
      <c r="A1" s="231"/>
    </row>
    <row r="2" spans="1:7" x14ac:dyDescent="0.3">
      <c r="A2" s="629" t="s">
        <v>200</v>
      </c>
      <c r="B2" s="629"/>
      <c r="C2" s="629"/>
      <c r="D2" s="629"/>
      <c r="E2" s="629"/>
      <c r="F2" s="629"/>
    </row>
    <row r="3" spans="1:7" x14ac:dyDescent="0.3">
      <c r="A3" s="629" t="s">
        <v>201</v>
      </c>
      <c r="B3" s="629"/>
      <c r="C3" s="629"/>
      <c r="D3" s="629"/>
      <c r="E3" s="629"/>
      <c r="F3" s="629"/>
    </row>
    <row r="5" spans="1:7" x14ac:dyDescent="0.3">
      <c r="A5" s="625" t="s">
        <v>242</v>
      </c>
      <c r="B5" s="626" t="s">
        <v>202</v>
      </c>
      <c r="C5" s="627"/>
      <c r="D5" s="627"/>
      <c r="E5" s="627"/>
      <c r="F5" s="628"/>
      <c r="G5" s="623" t="s">
        <v>254</v>
      </c>
    </row>
    <row r="6" spans="1:7" ht="40.5" x14ac:dyDescent="0.3">
      <c r="A6" s="625"/>
      <c r="B6" s="321" t="s">
        <v>250</v>
      </c>
      <c r="C6" s="321" t="s">
        <v>251</v>
      </c>
      <c r="D6" s="321" t="s">
        <v>196</v>
      </c>
      <c r="E6" s="321" t="s">
        <v>197</v>
      </c>
      <c r="F6" s="322" t="s">
        <v>255</v>
      </c>
      <c r="G6" s="624"/>
    </row>
    <row r="7" spans="1:7" ht="121.5" x14ac:dyDescent="0.3">
      <c r="A7" s="323" t="s">
        <v>252</v>
      </c>
      <c r="B7" s="278"/>
      <c r="C7" s="278"/>
      <c r="D7" s="278"/>
      <c r="E7" s="278"/>
      <c r="F7" s="324"/>
      <c r="G7" s="281"/>
    </row>
    <row r="8" spans="1:7" ht="40.5" customHeight="1" x14ac:dyDescent="0.3">
      <c r="A8" s="233" t="s">
        <v>253</v>
      </c>
      <c r="B8" s="234">
        <f>B9+B10+B11+B12</f>
        <v>210000</v>
      </c>
      <c r="C8" s="234">
        <f>C9+C10+C11+C12</f>
        <v>0</v>
      </c>
      <c r="D8" s="234">
        <f>D9+D10+D11+D12</f>
        <v>210000</v>
      </c>
      <c r="E8" s="234">
        <f>C8*100/B8</f>
        <v>0</v>
      </c>
      <c r="F8" s="235"/>
      <c r="G8" s="319"/>
    </row>
    <row r="9" spans="1:7" ht="40.5" x14ac:dyDescent="0.3">
      <c r="A9" s="236" t="s">
        <v>203</v>
      </c>
      <c r="B9" s="237">
        <v>80000</v>
      </c>
      <c r="C9" s="237"/>
      <c r="D9" s="237">
        <f>B9-C9</f>
        <v>80000</v>
      </c>
      <c r="E9" s="237">
        <f>C9*100/B9</f>
        <v>0</v>
      </c>
      <c r="F9" s="314"/>
      <c r="G9" s="315"/>
    </row>
    <row r="10" spans="1:7" x14ac:dyDescent="0.3">
      <c r="A10" s="239" t="s">
        <v>204</v>
      </c>
      <c r="B10" s="240">
        <v>80000</v>
      </c>
      <c r="C10" s="240"/>
      <c r="D10" s="237">
        <f t="shared" ref="D10:D12" si="0">B10-C10</f>
        <v>80000</v>
      </c>
      <c r="E10" s="237">
        <f t="shared" ref="E10:E12" si="1">C10*100/B10</f>
        <v>0</v>
      </c>
      <c r="F10" s="241"/>
      <c r="G10" s="244"/>
    </row>
    <row r="11" spans="1:7" ht="40.5" x14ac:dyDescent="0.3">
      <c r="A11" s="239" t="s">
        <v>205</v>
      </c>
      <c r="B11" s="240">
        <v>30000</v>
      </c>
      <c r="C11" s="240"/>
      <c r="D11" s="237">
        <f t="shared" si="0"/>
        <v>30000</v>
      </c>
      <c r="E11" s="237">
        <f t="shared" si="1"/>
        <v>0</v>
      </c>
      <c r="F11" s="241"/>
      <c r="G11" s="304"/>
    </row>
    <row r="12" spans="1:7" x14ac:dyDescent="0.3">
      <c r="A12" s="242" t="s">
        <v>206</v>
      </c>
      <c r="B12" s="243">
        <v>20000</v>
      </c>
      <c r="C12" s="243"/>
      <c r="D12" s="317">
        <f t="shared" si="0"/>
        <v>20000</v>
      </c>
      <c r="E12" s="237">
        <f t="shared" si="1"/>
        <v>0</v>
      </c>
      <c r="F12" s="244"/>
      <c r="G12" s="304"/>
    </row>
    <row r="13" spans="1:7" x14ac:dyDescent="0.3">
      <c r="A13" s="296" t="s">
        <v>207</v>
      </c>
      <c r="B13" s="245"/>
      <c r="C13" s="245"/>
      <c r="D13" s="316"/>
      <c r="E13" s="245"/>
      <c r="F13" s="246"/>
      <c r="G13" s="281"/>
    </row>
    <row r="14" spans="1:7" ht="101.25" x14ac:dyDescent="0.3">
      <c r="A14" s="233" t="s">
        <v>208</v>
      </c>
      <c r="B14" s="234">
        <f>B15+B16+B17</f>
        <v>490000</v>
      </c>
      <c r="C14" s="234">
        <f>C15+C16+C17</f>
        <v>112800</v>
      </c>
      <c r="D14" s="234">
        <f>D15+D16+D17</f>
        <v>377200</v>
      </c>
      <c r="E14" s="234">
        <f>C14*100/B14</f>
        <v>23.020408163265305</v>
      </c>
      <c r="F14" s="235"/>
      <c r="G14" s="320"/>
    </row>
    <row r="15" spans="1:7" x14ac:dyDescent="0.3">
      <c r="A15" s="247" t="s">
        <v>209</v>
      </c>
      <c r="B15" s="237">
        <v>450000</v>
      </c>
      <c r="C15" s="237">
        <f>56400+56400</f>
        <v>112800</v>
      </c>
      <c r="D15" s="237">
        <f>B15-C15</f>
        <v>337200</v>
      </c>
      <c r="E15" s="237">
        <f>C15*100/B15</f>
        <v>25.066666666666666</v>
      </c>
      <c r="F15" s="238"/>
      <c r="G15" s="304"/>
    </row>
    <row r="16" spans="1:7" x14ac:dyDescent="0.3">
      <c r="A16" s="248" t="s">
        <v>210</v>
      </c>
      <c r="B16" s="240">
        <v>30000</v>
      </c>
      <c r="C16" s="240"/>
      <c r="D16" s="237">
        <f t="shared" ref="D16:D17" si="2">B16-C16</f>
        <v>30000</v>
      </c>
      <c r="E16" s="237">
        <f t="shared" ref="E16:E17" si="3">C16*100/B16</f>
        <v>0</v>
      </c>
      <c r="F16" s="241"/>
      <c r="G16" s="304"/>
    </row>
    <row r="17" spans="1:7" x14ac:dyDescent="0.3">
      <c r="A17" s="248" t="s">
        <v>211</v>
      </c>
      <c r="B17" s="240">
        <v>10000</v>
      </c>
      <c r="C17" s="240"/>
      <c r="D17" s="237">
        <f t="shared" si="2"/>
        <v>10000</v>
      </c>
      <c r="E17" s="237">
        <f t="shared" si="3"/>
        <v>0</v>
      </c>
      <c r="F17" s="241"/>
      <c r="G17" s="304"/>
    </row>
    <row r="18" spans="1:7" ht="40.5" x14ac:dyDescent="0.3">
      <c r="A18" s="309" t="s">
        <v>212</v>
      </c>
      <c r="B18" s="245"/>
      <c r="C18" s="301"/>
      <c r="D18" s="301"/>
      <c r="E18" s="301"/>
      <c r="F18" s="297"/>
      <c r="G18" s="281"/>
    </row>
    <row r="19" spans="1:7" ht="20.25" customHeight="1" x14ac:dyDescent="0.3">
      <c r="A19" s="249" t="s">
        <v>213</v>
      </c>
      <c r="B19" s="250">
        <v>100000</v>
      </c>
      <c r="C19" s="302"/>
      <c r="D19" s="302">
        <f>B19-C19</f>
        <v>100000</v>
      </c>
      <c r="E19" s="302">
        <f>C19*100/B19</f>
        <v>0</v>
      </c>
      <c r="F19" s="251"/>
      <c r="G19" s="320"/>
    </row>
    <row r="20" spans="1:7" x14ac:dyDescent="0.3">
      <c r="A20" s="298" t="s">
        <v>214</v>
      </c>
      <c r="B20" s="252"/>
      <c r="C20" s="252"/>
      <c r="D20" s="252"/>
      <c r="E20" s="252"/>
      <c r="F20" s="253"/>
      <c r="G20" s="281"/>
    </row>
    <row r="21" spans="1:7" x14ac:dyDescent="0.3">
      <c r="A21" s="233" t="s">
        <v>215</v>
      </c>
      <c r="B21" s="234">
        <f>B22+B23</f>
        <v>200000</v>
      </c>
      <c r="C21" s="234">
        <f>C22+C23</f>
        <v>0</v>
      </c>
      <c r="D21" s="234">
        <f>D22+D23</f>
        <v>200000</v>
      </c>
      <c r="E21" s="234">
        <f>C21*100/B21</f>
        <v>0</v>
      </c>
      <c r="F21" s="235"/>
      <c r="G21" s="320"/>
    </row>
    <row r="22" spans="1:7" ht="60.75" x14ac:dyDescent="0.3">
      <c r="A22" s="254" t="s">
        <v>216</v>
      </c>
      <c r="B22" s="255">
        <v>150000</v>
      </c>
      <c r="C22" s="255"/>
      <c r="D22" s="255">
        <f>B22-C22</f>
        <v>150000</v>
      </c>
      <c r="E22" s="255">
        <f>C22*100/B22</f>
        <v>0</v>
      </c>
      <c r="F22" s="256"/>
      <c r="G22" s="304"/>
    </row>
    <row r="23" spans="1:7" x14ac:dyDescent="0.3">
      <c r="A23" s="257" t="s">
        <v>217</v>
      </c>
      <c r="B23" s="258">
        <v>50000</v>
      </c>
      <c r="C23" s="258"/>
      <c r="D23" s="258">
        <f>B23-C23</f>
        <v>50000</v>
      </c>
      <c r="E23" s="255">
        <f>C23*100/B23</f>
        <v>0</v>
      </c>
      <c r="F23" s="259"/>
      <c r="G23" s="304"/>
    </row>
    <row r="24" spans="1:7" ht="40.5" x14ac:dyDescent="0.3">
      <c r="A24" s="260" t="s">
        <v>218</v>
      </c>
      <c r="B24" s="234">
        <f>B25+B26+B27+B28+B29+B30+B31+B32+B33</f>
        <v>2400720</v>
      </c>
      <c r="C24" s="234">
        <f>C25+C27+C28+C29+C30+C31+C32+C33</f>
        <v>274797.09999999998</v>
      </c>
      <c r="D24" s="234">
        <f>D25+D27+D28+D29+D30+D31+D32+D33</f>
        <v>2125922.9</v>
      </c>
      <c r="E24" s="234">
        <f>C24*100/B24</f>
        <v>11.446445233096735</v>
      </c>
      <c r="F24" s="235"/>
      <c r="G24" s="320"/>
    </row>
    <row r="25" spans="1:7" x14ac:dyDescent="0.3">
      <c r="A25" s="261" t="s">
        <v>219</v>
      </c>
      <c r="B25" s="262">
        <v>950000</v>
      </c>
      <c r="C25" s="262">
        <f>36950+33750+2700+17500+3000+3000+7000+32468</f>
        <v>136368</v>
      </c>
      <c r="D25" s="262">
        <f>B25-C25</f>
        <v>813632</v>
      </c>
      <c r="E25" s="262">
        <f>C25*100/B25</f>
        <v>14.354526315789474</v>
      </c>
      <c r="F25" s="263"/>
      <c r="G25" s="304"/>
    </row>
    <row r="26" spans="1:7" x14ac:dyDescent="0.3">
      <c r="A26" s="264" t="s">
        <v>220</v>
      </c>
      <c r="B26" s="265"/>
      <c r="C26" s="265"/>
      <c r="D26" s="265"/>
      <c r="E26" s="262"/>
      <c r="F26" s="266"/>
      <c r="G26" s="304"/>
    </row>
    <row r="27" spans="1:7" ht="40.5" x14ac:dyDescent="0.3">
      <c r="A27" s="248" t="s">
        <v>221</v>
      </c>
      <c r="B27" s="265">
        <v>840000</v>
      </c>
      <c r="C27" s="265">
        <f>46629.1</f>
        <v>46629.1</v>
      </c>
      <c r="D27" s="265">
        <f>B27-C27</f>
        <v>793370.9</v>
      </c>
      <c r="E27" s="262">
        <f t="shared" ref="E27:E33" si="4">C27*100/B27</f>
        <v>5.5510833333333336</v>
      </c>
      <c r="F27" s="241"/>
      <c r="G27" s="304"/>
    </row>
    <row r="28" spans="1:7" x14ac:dyDescent="0.3">
      <c r="A28" s="248" t="s">
        <v>222</v>
      </c>
      <c r="B28" s="240">
        <v>276000</v>
      </c>
      <c r="C28" s="240"/>
      <c r="D28" s="265">
        <f t="shared" ref="D28:D33" si="5">B28-C28</f>
        <v>276000</v>
      </c>
      <c r="E28" s="262">
        <f t="shared" si="4"/>
        <v>0</v>
      </c>
      <c r="F28" s="267"/>
      <c r="G28" s="304"/>
    </row>
    <row r="29" spans="1:7" x14ac:dyDescent="0.3">
      <c r="A29" s="248" t="s">
        <v>206</v>
      </c>
      <c r="B29" s="240">
        <v>30000</v>
      </c>
      <c r="C29" s="240"/>
      <c r="D29" s="265">
        <f t="shared" si="5"/>
        <v>30000</v>
      </c>
      <c r="E29" s="262">
        <f t="shared" si="4"/>
        <v>0</v>
      </c>
      <c r="F29" s="267"/>
      <c r="G29" s="304"/>
    </row>
    <row r="30" spans="1:7" x14ac:dyDescent="0.3">
      <c r="A30" s="248" t="s">
        <v>223</v>
      </c>
      <c r="B30" s="240">
        <v>100000</v>
      </c>
      <c r="C30" s="240">
        <f>91800</f>
        <v>91800</v>
      </c>
      <c r="D30" s="265">
        <f t="shared" si="5"/>
        <v>8200</v>
      </c>
      <c r="E30" s="262">
        <f t="shared" si="4"/>
        <v>91.8</v>
      </c>
      <c r="F30" s="267"/>
      <c r="G30" s="304"/>
    </row>
    <row r="31" spans="1:7" x14ac:dyDescent="0.3">
      <c r="A31" s="248" t="s">
        <v>224</v>
      </c>
      <c r="B31" s="240">
        <v>30000</v>
      </c>
      <c r="C31" s="240"/>
      <c r="D31" s="265">
        <f t="shared" si="5"/>
        <v>30000</v>
      </c>
      <c r="E31" s="262">
        <f t="shared" si="4"/>
        <v>0</v>
      </c>
      <c r="F31" s="267"/>
      <c r="G31" s="304"/>
    </row>
    <row r="32" spans="1:7" ht="40.5" x14ac:dyDescent="0.3">
      <c r="A32" s="239" t="s">
        <v>225</v>
      </c>
      <c r="B32" s="240">
        <v>18720</v>
      </c>
      <c r="C32" s="240"/>
      <c r="D32" s="265">
        <f t="shared" si="5"/>
        <v>18720</v>
      </c>
      <c r="E32" s="262">
        <f t="shared" si="4"/>
        <v>0</v>
      </c>
      <c r="F32" s="267"/>
      <c r="G32" s="304"/>
    </row>
    <row r="33" spans="1:7" x14ac:dyDescent="0.3">
      <c r="A33" s="239" t="s">
        <v>226</v>
      </c>
      <c r="B33" s="240">
        <v>156000</v>
      </c>
      <c r="C33" s="240"/>
      <c r="D33" s="265">
        <f t="shared" si="5"/>
        <v>156000</v>
      </c>
      <c r="E33" s="262">
        <f t="shared" si="4"/>
        <v>0</v>
      </c>
      <c r="F33" s="268"/>
      <c r="G33" s="304"/>
    </row>
    <row r="34" spans="1:7" ht="60.75" x14ac:dyDescent="0.3">
      <c r="A34" s="269" t="s">
        <v>243</v>
      </c>
      <c r="B34" s="234">
        <f>B35+B36+B37+B38+B39+B40</f>
        <v>1427280</v>
      </c>
      <c r="C34" s="234">
        <f>C35+C36+C37+C38+C39+C40</f>
        <v>215580</v>
      </c>
      <c r="D34" s="234">
        <f>D35+D36+D37+D38+D39+D40</f>
        <v>1211700</v>
      </c>
      <c r="E34" s="234">
        <f>C34*100/B34</f>
        <v>15.104254245838238</v>
      </c>
      <c r="F34" s="235"/>
      <c r="G34" s="320"/>
    </row>
    <row r="35" spans="1:7" ht="40.5" x14ac:dyDescent="0.3">
      <c r="A35" s="236" t="s">
        <v>244</v>
      </c>
      <c r="B35" s="237">
        <v>156000</v>
      </c>
      <c r="C35" s="237">
        <f>13000+13000</f>
        <v>26000</v>
      </c>
      <c r="D35" s="237">
        <f>B35-C35</f>
        <v>130000</v>
      </c>
      <c r="E35" s="237">
        <f>C35*100/B35</f>
        <v>16.666666666666668</v>
      </c>
      <c r="F35" s="270"/>
      <c r="G35" s="304"/>
    </row>
    <row r="36" spans="1:7" ht="40.5" x14ac:dyDescent="0.3">
      <c r="A36" s="264" t="s">
        <v>245</v>
      </c>
      <c r="B36" s="265">
        <v>168000</v>
      </c>
      <c r="C36" s="265">
        <f>14000+14000</f>
        <v>28000</v>
      </c>
      <c r="D36" s="237">
        <f t="shared" ref="D36:D40" si="6">B36-C36</f>
        <v>140000</v>
      </c>
      <c r="E36" s="237">
        <f t="shared" ref="E36:E40" si="7">C36*100/B36</f>
        <v>16.666666666666668</v>
      </c>
      <c r="F36" s="271"/>
      <c r="G36" s="304"/>
    </row>
    <row r="37" spans="1:7" ht="40.5" x14ac:dyDescent="0.3">
      <c r="A37" s="248" t="s">
        <v>227</v>
      </c>
      <c r="B37" s="240">
        <v>180000</v>
      </c>
      <c r="C37" s="240">
        <f>15000+15000</f>
        <v>30000</v>
      </c>
      <c r="D37" s="237">
        <f t="shared" si="6"/>
        <v>150000</v>
      </c>
      <c r="E37" s="237">
        <f t="shared" si="7"/>
        <v>16.666666666666668</v>
      </c>
      <c r="F37" s="272"/>
      <c r="G37" s="304"/>
    </row>
    <row r="38" spans="1:7" ht="40.5" x14ac:dyDescent="0.3">
      <c r="A38" s="248" t="s">
        <v>246</v>
      </c>
      <c r="B38" s="240">
        <v>360000</v>
      </c>
      <c r="C38" s="240">
        <f>15000+15000+30000</f>
        <v>60000</v>
      </c>
      <c r="D38" s="237">
        <f t="shared" si="6"/>
        <v>300000</v>
      </c>
      <c r="E38" s="237">
        <f t="shared" si="7"/>
        <v>16.666666666666668</v>
      </c>
      <c r="F38" s="272"/>
      <c r="G38" s="304"/>
    </row>
    <row r="39" spans="1:7" ht="101.25" x14ac:dyDescent="0.3">
      <c r="A39" s="248" t="s">
        <v>247</v>
      </c>
      <c r="B39" s="265">
        <v>275280</v>
      </c>
      <c r="C39" s="265">
        <f>11790+11790</f>
        <v>23580</v>
      </c>
      <c r="D39" s="237">
        <f t="shared" si="6"/>
        <v>251700</v>
      </c>
      <c r="E39" s="237">
        <f t="shared" si="7"/>
        <v>8.5658238884045339</v>
      </c>
      <c r="F39" s="272"/>
      <c r="G39" s="304"/>
    </row>
    <row r="40" spans="1:7" x14ac:dyDescent="0.3">
      <c r="A40" s="273" t="s">
        <v>248</v>
      </c>
      <c r="B40" s="243">
        <v>288000</v>
      </c>
      <c r="C40" s="243">
        <f>12000+12000+12000+12000</f>
        <v>48000</v>
      </c>
      <c r="D40" s="237">
        <f t="shared" si="6"/>
        <v>240000</v>
      </c>
      <c r="E40" s="237">
        <f t="shared" si="7"/>
        <v>16.666666666666668</v>
      </c>
      <c r="F40" s="274"/>
      <c r="G40" s="304"/>
    </row>
    <row r="41" spans="1:7" ht="60.75" x14ac:dyDescent="0.3">
      <c r="A41" s="269" t="s">
        <v>228</v>
      </c>
      <c r="B41" s="234">
        <f>B42+B43</f>
        <v>100000</v>
      </c>
      <c r="C41" s="234">
        <f>C42+C43</f>
        <v>0</v>
      </c>
      <c r="D41" s="234">
        <f>D42+D43</f>
        <v>0</v>
      </c>
      <c r="E41" s="234">
        <f>C41*100/B41</f>
        <v>0</v>
      </c>
      <c r="F41" s="235"/>
      <c r="G41" s="320"/>
    </row>
    <row r="42" spans="1:7" ht="40.5" x14ac:dyDescent="0.3">
      <c r="A42" s="275" t="s">
        <v>229</v>
      </c>
      <c r="B42" s="237">
        <v>50000</v>
      </c>
      <c r="C42" s="237"/>
      <c r="D42" s="237"/>
      <c r="E42" s="237">
        <f>C42*100/B42</f>
        <v>0</v>
      </c>
      <c r="F42" s="238"/>
      <c r="G42" s="304"/>
    </row>
    <row r="43" spans="1:7" x14ac:dyDescent="0.3">
      <c r="A43" s="276" t="s">
        <v>230</v>
      </c>
      <c r="B43" s="243">
        <v>50000</v>
      </c>
      <c r="C43" s="243"/>
      <c r="D43" s="243"/>
      <c r="E43" s="237">
        <f>C43*100/B43</f>
        <v>0</v>
      </c>
      <c r="F43" s="244"/>
      <c r="G43" s="304"/>
    </row>
    <row r="44" spans="1:7" ht="40.5" x14ac:dyDescent="0.3">
      <c r="A44" s="249" t="s">
        <v>231</v>
      </c>
      <c r="B44" s="250">
        <v>1500000</v>
      </c>
      <c r="C44" s="250">
        <f>C45+C46+C47</f>
        <v>207600</v>
      </c>
      <c r="D44" s="250">
        <f>B44-C44</f>
        <v>1292400</v>
      </c>
      <c r="E44" s="250">
        <f>C44*100/B44</f>
        <v>13.84</v>
      </c>
      <c r="F44" s="277"/>
      <c r="G44" s="320"/>
    </row>
    <row r="45" spans="1:7" s="308" customFormat="1" ht="30.75" x14ac:dyDescent="0.3">
      <c r="A45" s="310" t="s">
        <v>258</v>
      </c>
      <c r="B45" s="311">
        <v>76000</v>
      </c>
      <c r="C45" s="311">
        <f>62500+13500</f>
        <v>76000</v>
      </c>
      <c r="D45" s="311">
        <f>B45-C45</f>
        <v>0</v>
      </c>
      <c r="E45" s="369">
        <f>C45*100/B45</f>
        <v>100</v>
      </c>
      <c r="F45" s="312"/>
      <c r="G45" s="313" t="s">
        <v>256</v>
      </c>
    </row>
    <row r="46" spans="1:7" s="308" customFormat="1" ht="60.75" x14ac:dyDescent="0.3">
      <c r="A46" s="310" t="s">
        <v>297</v>
      </c>
      <c r="B46" s="311">
        <v>191000</v>
      </c>
      <c r="C46" s="311"/>
      <c r="D46" s="311">
        <f t="shared" ref="D46:D47" si="8">B46-C46</f>
        <v>191000</v>
      </c>
      <c r="E46" s="369">
        <f t="shared" ref="E46:E47" si="9">C46*100/B46</f>
        <v>0</v>
      </c>
      <c r="F46" s="312"/>
      <c r="G46" s="313" t="s">
        <v>299</v>
      </c>
    </row>
    <row r="47" spans="1:7" s="308" customFormat="1" ht="60.75" x14ac:dyDescent="0.3">
      <c r="A47" s="310" t="s">
        <v>298</v>
      </c>
      <c r="B47" s="311">
        <v>172700</v>
      </c>
      <c r="C47" s="311">
        <f>131600</f>
        <v>131600</v>
      </c>
      <c r="D47" s="311">
        <f t="shared" si="8"/>
        <v>41100</v>
      </c>
      <c r="E47" s="440">
        <f t="shared" si="9"/>
        <v>76.201505500868564</v>
      </c>
      <c r="F47" s="312"/>
      <c r="G47" s="313"/>
    </row>
    <row r="48" spans="1:7" ht="60.75" x14ac:dyDescent="0.3">
      <c r="A48" s="300" t="s">
        <v>249</v>
      </c>
      <c r="B48" s="278"/>
      <c r="C48" s="278"/>
      <c r="D48" s="278"/>
      <c r="E48" s="278"/>
      <c r="F48" s="279"/>
      <c r="G48" s="281"/>
    </row>
    <row r="49" spans="1:8" x14ac:dyDescent="0.3">
      <c r="A49" s="280" t="s">
        <v>232</v>
      </c>
      <c r="B49" s="250">
        <v>1000000</v>
      </c>
      <c r="C49" s="250"/>
      <c r="D49" s="250">
        <f>B49-C49</f>
        <v>1000000</v>
      </c>
      <c r="E49" s="250">
        <f>C49*100/B49</f>
        <v>0</v>
      </c>
      <c r="F49" s="277"/>
      <c r="G49" s="320"/>
    </row>
    <row r="50" spans="1:8" x14ac:dyDescent="0.3">
      <c r="A50" s="299" t="s">
        <v>233</v>
      </c>
      <c r="B50" s="245"/>
      <c r="C50" s="245"/>
      <c r="D50" s="245"/>
      <c r="E50" s="245"/>
      <c r="F50" s="281"/>
      <c r="G50" s="281"/>
    </row>
    <row r="51" spans="1:8" ht="40.5" x14ac:dyDescent="0.3">
      <c r="A51" s="269" t="s">
        <v>234</v>
      </c>
      <c r="B51" s="234">
        <f>B52+B53+B54+B55+B56+B57+B58</f>
        <v>572000</v>
      </c>
      <c r="C51" s="234">
        <f>C53+C54+C55+C56+C57+C58</f>
        <v>3100</v>
      </c>
      <c r="D51" s="234">
        <f>D53+D54+D55+D56+D57+D58</f>
        <v>568900</v>
      </c>
      <c r="E51" s="234">
        <f>C51*100/B51</f>
        <v>0.54195804195804198</v>
      </c>
      <c r="F51" s="235"/>
      <c r="G51" s="320"/>
    </row>
    <row r="52" spans="1:8" ht="40.5" x14ac:dyDescent="0.3">
      <c r="A52" s="247" t="s">
        <v>235</v>
      </c>
      <c r="B52" s="237">
        <v>0</v>
      </c>
      <c r="C52" s="237"/>
      <c r="D52" s="237"/>
      <c r="E52" s="237"/>
      <c r="F52" s="238"/>
      <c r="G52" s="304"/>
    </row>
    <row r="53" spans="1:8" x14ac:dyDescent="0.3">
      <c r="A53" s="282" t="s">
        <v>236</v>
      </c>
      <c r="B53" s="240">
        <v>276000</v>
      </c>
      <c r="C53" s="240"/>
      <c r="D53" s="240">
        <f>B53-C53</f>
        <v>276000</v>
      </c>
      <c r="E53" s="240">
        <f>C53*100/B53</f>
        <v>0</v>
      </c>
      <c r="F53" s="241"/>
      <c r="G53" s="304"/>
    </row>
    <row r="54" spans="1:8" x14ac:dyDescent="0.3">
      <c r="A54" s="283" t="s">
        <v>237</v>
      </c>
      <c r="B54" s="240">
        <v>10000</v>
      </c>
      <c r="C54" s="240">
        <f>230</f>
        <v>230</v>
      </c>
      <c r="D54" s="240">
        <f t="shared" ref="D54:D58" si="10">B54-C54</f>
        <v>9770</v>
      </c>
      <c r="E54" s="240">
        <f t="shared" ref="E54:E56" si="11">C54*100/B54</f>
        <v>2.2999999999999998</v>
      </c>
      <c r="F54" s="241"/>
      <c r="G54" s="304"/>
    </row>
    <row r="55" spans="1:8" x14ac:dyDescent="0.3">
      <c r="A55" s="264" t="s">
        <v>238</v>
      </c>
      <c r="B55" s="240">
        <v>100000</v>
      </c>
      <c r="C55" s="240"/>
      <c r="D55" s="240">
        <f t="shared" si="10"/>
        <v>100000</v>
      </c>
      <c r="E55" s="240">
        <f t="shared" si="11"/>
        <v>0</v>
      </c>
      <c r="F55" s="267"/>
      <c r="G55" s="304"/>
    </row>
    <row r="56" spans="1:8" x14ac:dyDescent="0.3">
      <c r="A56" s="248" t="s">
        <v>239</v>
      </c>
      <c r="B56" s="240">
        <v>20000</v>
      </c>
      <c r="C56" s="240"/>
      <c r="D56" s="240">
        <f t="shared" si="10"/>
        <v>20000</v>
      </c>
      <c r="E56" s="240">
        <f t="shared" si="11"/>
        <v>0</v>
      </c>
      <c r="F56" s="267"/>
      <c r="G56" s="304"/>
    </row>
    <row r="57" spans="1:8" ht="43.5" customHeight="1" x14ac:dyDescent="0.3">
      <c r="A57" s="248" t="s">
        <v>240</v>
      </c>
      <c r="B57" s="240">
        <v>10000</v>
      </c>
      <c r="C57" s="240">
        <f>1085+1015+770</f>
        <v>2870</v>
      </c>
      <c r="D57" s="240">
        <f t="shared" si="10"/>
        <v>7130</v>
      </c>
      <c r="E57" s="240">
        <f>C57*100/B57</f>
        <v>28.7</v>
      </c>
      <c r="F57" s="267"/>
      <c r="G57" s="304"/>
    </row>
    <row r="58" spans="1:8" x14ac:dyDescent="0.3">
      <c r="A58" s="284" t="s">
        <v>241</v>
      </c>
      <c r="B58" s="240">
        <v>156000</v>
      </c>
      <c r="C58" s="240"/>
      <c r="D58" s="240">
        <f t="shared" si="10"/>
        <v>156000</v>
      </c>
      <c r="E58" s="240">
        <f>C58*100/B58</f>
        <v>0</v>
      </c>
      <c r="F58" s="268"/>
      <c r="G58" s="304"/>
    </row>
    <row r="59" spans="1:8" ht="24" customHeight="1" x14ac:dyDescent="0.3">
      <c r="A59" s="285" t="s">
        <v>62</v>
      </c>
      <c r="B59" s="286">
        <f>B8+B14+B19+B21+B24+B34+B41+B44+B49+B51</f>
        <v>8000000</v>
      </c>
      <c r="C59" s="286">
        <f t="shared" ref="C59:F59" si="12">C8+C14+C19+C21+C24+C34+C41+C44+C49+C51</f>
        <v>813877.1</v>
      </c>
      <c r="D59" s="286">
        <f t="shared" si="12"/>
        <v>7086122.9000000004</v>
      </c>
      <c r="E59" s="286">
        <f t="shared" si="12"/>
        <v>63.953065684158318</v>
      </c>
      <c r="F59" s="286">
        <f t="shared" si="12"/>
        <v>0</v>
      </c>
      <c r="G59" s="318"/>
      <c r="H59" s="287"/>
    </row>
    <row r="60" spans="1:8" x14ac:dyDescent="0.3">
      <c r="B60" s="288"/>
      <c r="C60" s="303"/>
      <c r="D60" s="303"/>
      <c r="E60" s="303"/>
      <c r="F60" s="289"/>
    </row>
    <row r="61" spans="1:8" x14ac:dyDescent="0.3">
      <c r="B61" s="290"/>
      <c r="C61" s="290"/>
      <c r="D61" s="290"/>
      <c r="E61" s="290"/>
      <c r="F61" s="289"/>
    </row>
    <row r="62" spans="1:8" x14ac:dyDescent="0.3">
      <c r="B62" s="291"/>
      <c r="C62" s="291"/>
      <c r="D62" s="291"/>
      <c r="E62" s="291"/>
      <c r="F62" s="292"/>
    </row>
    <row r="63" spans="1:8" x14ac:dyDescent="0.3">
      <c r="A63" s="293"/>
      <c r="B63" s="291"/>
      <c r="C63" s="291"/>
      <c r="D63" s="291"/>
      <c r="E63" s="291"/>
      <c r="F63" s="294"/>
    </row>
    <row r="64" spans="1:8" x14ac:dyDescent="0.3">
      <c r="F64" s="295"/>
    </row>
  </sheetData>
  <mergeCells count="5">
    <mergeCell ref="G5:G6"/>
    <mergeCell ref="A5:A6"/>
    <mergeCell ref="B5:F5"/>
    <mergeCell ref="A2:F2"/>
    <mergeCell ref="A3:F3"/>
  </mergeCells>
  <pageMargins left="0.19685039370078741" right="0.19685039370078741" top="0.19685039370078741" bottom="0.19685039370078741" header="0.19685039370078741" footer="0.19685039370078741"/>
  <pageSetup paperSize="9" scale="7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6" sqref="D6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23.25" x14ac:dyDescent="0.2">
      <c r="A1" s="630" t="s">
        <v>266</v>
      </c>
      <c r="B1" s="631"/>
      <c r="C1" s="631"/>
      <c r="D1" s="631"/>
      <c r="E1" s="631"/>
      <c r="F1" s="631"/>
      <c r="G1" s="631"/>
    </row>
    <row r="3" spans="1:7" ht="21" x14ac:dyDescent="0.2">
      <c r="A3" s="632" t="s">
        <v>259</v>
      </c>
      <c r="B3" s="632" t="s">
        <v>142</v>
      </c>
      <c r="C3" s="632" t="s">
        <v>250</v>
      </c>
      <c r="D3" s="632" t="s">
        <v>260</v>
      </c>
      <c r="E3" s="632"/>
      <c r="F3" s="632"/>
      <c r="G3" s="632" t="s">
        <v>261</v>
      </c>
    </row>
    <row r="4" spans="1:7" ht="21" x14ac:dyDescent="0.2">
      <c r="A4" s="632"/>
      <c r="B4" s="632"/>
      <c r="C4" s="632"/>
      <c r="D4" s="370" t="s">
        <v>262</v>
      </c>
      <c r="E4" s="370" t="s">
        <v>197</v>
      </c>
      <c r="F4" s="370" t="s">
        <v>263</v>
      </c>
      <c r="G4" s="632"/>
    </row>
    <row r="5" spans="1:7" ht="63" x14ac:dyDescent="0.35">
      <c r="A5" s="371">
        <v>1</v>
      </c>
      <c r="B5" s="372" t="s">
        <v>265</v>
      </c>
      <c r="C5" s="373">
        <v>250000</v>
      </c>
      <c r="D5" s="374">
        <f>10064+13000</f>
        <v>23064</v>
      </c>
      <c r="E5" s="375">
        <f>D5*100/C5</f>
        <v>9.2256</v>
      </c>
      <c r="F5" s="376">
        <f>C5-D5</f>
        <v>226936</v>
      </c>
      <c r="G5" s="377" t="s">
        <v>264</v>
      </c>
    </row>
    <row r="6" spans="1:7" ht="21" x14ac:dyDescent="0.35">
      <c r="A6" s="378"/>
      <c r="B6" s="378" t="s">
        <v>62</v>
      </c>
      <c r="C6" s="379">
        <f>C5</f>
        <v>250000</v>
      </c>
      <c r="D6" s="379" t="s">
        <v>312</v>
      </c>
      <c r="E6" s="380">
        <f>E5</f>
        <v>9.2256</v>
      </c>
      <c r="F6" s="379" t="e">
        <f>C6-D6</f>
        <v>#VALUE!</v>
      </c>
      <c r="G6" s="381"/>
    </row>
    <row r="7" spans="1:7" x14ac:dyDescent="0.2">
      <c r="D7" t="s">
        <v>267</v>
      </c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5</vt:i4>
      </vt:variant>
    </vt:vector>
  </HeadingPairs>
  <TitlesOfParts>
    <vt:vector size="11" baseType="lpstr">
      <vt:lpstr>งบหน้า</vt:lpstr>
      <vt:lpstr>งบจังหวัด 2562 (2)</vt:lpstr>
      <vt:lpstr>งบกลุ่ม 2562</vt:lpstr>
      <vt:lpstr>งบจังหวัด 2562</vt:lpstr>
      <vt:lpstr>งบ 8 ล้าน</vt:lpstr>
      <vt:lpstr>งบกลุ่ม 250000</vt:lpstr>
      <vt:lpstr>'งบจังหวัด 2562'!Print_Area</vt:lpstr>
      <vt:lpstr>'งบจังหวัด 2562 (2)'!Print_Area</vt:lpstr>
      <vt:lpstr>'งบกลุ่ม 2562'!Print_Titles</vt:lpstr>
      <vt:lpstr>'งบจังหวัด 2562'!Print_Titles</vt:lpstr>
      <vt:lpstr>'งบจังหวัด 2562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kannika.com</dc:creator>
  <cp:lastModifiedBy>jass</cp:lastModifiedBy>
  <cp:lastPrinted>2018-12-21T04:37:59Z</cp:lastPrinted>
  <dcterms:created xsi:type="dcterms:W3CDTF">2018-07-07T14:00:09Z</dcterms:created>
  <dcterms:modified xsi:type="dcterms:W3CDTF">2018-12-24T06:52:21Z</dcterms:modified>
</cp:coreProperties>
</file>