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20115" windowHeight="7395" firstSheet="2" activeTab="3"/>
  </bookViews>
  <sheets>
    <sheet name="งบหน้า" sheetId="5" state="hidden" r:id="rId1"/>
    <sheet name="งบจังหวัด 2562 (2)" sheetId="4" state="hidden" r:id="rId2"/>
    <sheet name="งบกลุ่ม 2562" sheetId="3" r:id="rId3"/>
    <sheet name="งบจังหวัด 2562" sheetId="2" r:id="rId4"/>
    <sheet name="งบ 8 ล้าน" sheetId="6" r:id="rId5"/>
    <sheet name="งบกลุ่ม 250000" sheetId="7" r:id="rId6"/>
  </sheets>
  <definedNames>
    <definedName name="_xlnm._FilterDatabase" localSheetId="3" hidden="1">'งบจังหวัด 2562'!$A$3:$Q$126</definedName>
    <definedName name="_xlnm._FilterDatabase" localSheetId="1" hidden="1">'งบจังหวัด 2562 (2)'!$A$7:$G$112</definedName>
    <definedName name="_GoBack" localSheetId="3">'งบจังหวัด 2562'!#REF!</definedName>
    <definedName name="_GoBack" localSheetId="1">'งบจังหวัด 2562 (2)'!#REF!</definedName>
    <definedName name="_xlnm.Print_Area" localSheetId="4">'งบ 8 ล้าน'!$A$1:$G$62</definedName>
    <definedName name="_xlnm.Print_Area" localSheetId="3">'งบจังหวัด 2562'!$A$1:$Q$126</definedName>
    <definedName name="_xlnm.Print_Area" localSheetId="1">'งบจังหวัด 2562 (2)'!$A$1:$I$112</definedName>
    <definedName name="_xlnm.Print_Titles" localSheetId="4">'งบ 8 ล้าน'!$5:$6</definedName>
    <definedName name="_xlnm.Print_Titles" localSheetId="2">'งบกลุ่ม 2562'!$4:$4</definedName>
    <definedName name="_xlnm.Print_Titles" localSheetId="3">'งบจังหวัด 2562'!$3:$5</definedName>
    <definedName name="_xlnm.Print_Titles" localSheetId="1">'งบจังหวัด 2562 (2)'!$7:$9</definedName>
  </definedNames>
  <calcPr calcId="145621"/>
</workbook>
</file>

<file path=xl/calcChain.xml><?xml version="1.0" encoding="utf-8"?>
<calcChain xmlns="http://schemas.openxmlformats.org/spreadsheetml/2006/main">
  <c r="P50" i="2" l="1"/>
  <c r="P49" i="2"/>
  <c r="D51" i="2" l="1"/>
  <c r="D49" i="2"/>
  <c r="M14" i="2" l="1"/>
  <c r="J14" i="3" l="1"/>
  <c r="K15" i="3" l="1"/>
  <c r="K32" i="2" l="1"/>
  <c r="L32" i="2"/>
  <c r="O68" i="2" l="1"/>
  <c r="N19" i="2"/>
  <c r="P17" i="2" l="1"/>
  <c r="K79" i="2"/>
  <c r="L79" i="2"/>
  <c r="K29" i="2" l="1"/>
  <c r="K28" i="2"/>
  <c r="K42" i="2"/>
  <c r="L42" i="2"/>
  <c r="L26" i="2"/>
  <c r="P121" i="2"/>
  <c r="P120" i="2" s="1"/>
  <c r="P114" i="2"/>
  <c r="P94" i="2"/>
  <c r="D80" i="2"/>
  <c r="J37" i="2"/>
  <c r="N32" i="2"/>
  <c r="N24" i="2"/>
  <c r="N25" i="2"/>
  <c r="N26" i="2"/>
  <c r="N27" i="2"/>
  <c r="N21" i="2"/>
  <c r="K26" i="2"/>
  <c r="K22" i="2"/>
  <c r="P9" i="2"/>
  <c r="P37" i="2"/>
  <c r="P35" i="2" s="1"/>
  <c r="K39" i="2"/>
  <c r="K40" i="2"/>
  <c r="O118" i="2"/>
  <c r="P83" i="2"/>
  <c r="P53" i="2"/>
  <c r="M16" i="2" l="1"/>
  <c r="M28" i="2" l="1"/>
  <c r="K36" i="2" l="1"/>
  <c r="N124" i="2" l="1"/>
  <c r="N123" i="2" s="1"/>
  <c r="N122" i="2"/>
  <c r="N121" i="2" s="1"/>
  <c r="N120" i="2" s="1"/>
  <c r="N117" i="2"/>
  <c r="I120" i="2"/>
  <c r="H120" i="2"/>
  <c r="D121" i="2"/>
  <c r="D120" i="2" s="1"/>
  <c r="E123" i="2"/>
  <c r="F123" i="2"/>
  <c r="G123" i="2"/>
  <c r="G120" i="2" s="1"/>
  <c r="J123" i="2"/>
  <c r="L123" i="2"/>
  <c r="M123" i="2"/>
  <c r="D123" i="2"/>
  <c r="M121" i="2"/>
  <c r="L121" i="2"/>
  <c r="L120" i="2" s="1"/>
  <c r="J121" i="2"/>
  <c r="J120" i="2" s="1"/>
  <c r="F121" i="2"/>
  <c r="E121" i="2"/>
  <c r="O124" i="2"/>
  <c r="O123" i="2" s="1"/>
  <c r="K124" i="2"/>
  <c r="K123" i="2" s="1"/>
  <c r="E120" i="2" l="1"/>
  <c r="M120" i="2"/>
  <c r="F120" i="2"/>
  <c r="O120" i="2" s="1"/>
  <c r="M103" i="2"/>
  <c r="M30" i="2"/>
  <c r="M105" i="2" l="1"/>
  <c r="M62" i="2" l="1"/>
  <c r="O62" i="2" s="1"/>
  <c r="M58" i="2" l="1"/>
  <c r="O58" i="2" s="1"/>
  <c r="M52" i="2" l="1"/>
  <c r="M47" i="2"/>
  <c r="M54" i="2" l="1"/>
  <c r="M70" i="2"/>
  <c r="M101" i="2" l="1"/>
  <c r="K122" i="2" l="1"/>
  <c r="K121" i="2" s="1"/>
  <c r="K120" i="2" s="1"/>
  <c r="K118" i="2"/>
  <c r="D5" i="7" l="1"/>
  <c r="N101" i="2" l="1"/>
  <c r="M41" i="2"/>
  <c r="O41" i="2" s="1"/>
  <c r="M67" i="2" l="1"/>
  <c r="O67" i="2" s="1"/>
  <c r="N67" i="2" l="1"/>
  <c r="M48" i="2"/>
  <c r="M12" i="2" l="1"/>
  <c r="N12" i="2" l="1"/>
  <c r="M11" i="2" l="1"/>
  <c r="M65" i="2" l="1"/>
  <c r="O65" i="2" s="1"/>
  <c r="M83" i="2" l="1"/>
  <c r="M97" i="2" l="1"/>
  <c r="M99" i="2" l="1"/>
  <c r="M42" i="2" l="1"/>
  <c r="M15" i="3" l="1"/>
  <c r="M93" i="2" l="1"/>
  <c r="M64" i="2" l="1"/>
  <c r="O64" i="2" s="1"/>
  <c r="M102" i="2" l="1"/>
  <c r="M60" i="2" l="1"/>
  <c r="O43" i="2" l="1"/>
  <c r="L126" i="2" l="1"/>
  <c r="M84" i="2" l="1"/>
  <c r="M46" i="2" l="1"/>
  <c r="O30" i="2" l="1"/>
  <c r="M63" i="2" l="1"/>
  <c r="O63" i="2" s="1"/>
  <c r="G38" i="2" l="1"/>
  <c r="O32" i="2"/>
  <c r="G24" i="2"/>
  <c r="G21" i="2"/>
  <c r="N18" i="2"/>
  <c r="M13" i="2"/>
  <c r="N13" i="2" s="1"/>
  <c r="K38" i="2" l="1"/>
  <c r="K37" i="2" s="1"/>
  <c r="G37" i="2"/>
  <c r="M29" i="2"/>
  <c r="M66" i="2" l="1"/>
  <c r="O66" i="2" s="1"/>
  <c r="O25" i="2" l="1"/>
  <c r="M106" i="2" l="1"/>
  <c r="N73" i="2" l="1"/>
  <c r="M78" i="2" l="1"/>
  <c r="O117" i="2" l="1"/>
  <c r="O116" i="2"/>
  <c r="N116" i="2"/>
  <c r="O115" i="2"/>
  <c r="E35" i="2" l="1"/>
  <c r="N36" i="2" l="1"/>
  <c r="K64" i="2" l="1"/>
  <c r="N64" i="2"/>
  <c r="M114" i="2" l="1"/>
  <c r="E114" i="2"/>
  <c r="P119" i="2"/>
  <c r="J119" i="2"/>
  <c r="J114" i="2"/>
  <c r="D114" i="2"/>
  <c r="D112" i="2" s="1"/>
  <c r="O122" i="2"/>
  <c r="O121" i="2" s="1"/>
  <c r="F119" i="2"/>
  <c r="E119" i="2"/>
  <c r="D119" i="2"/>
  <c r="K119" i="2"/>
  <c r="O73" i="2"/>
  <c r="O21" i="2"/>
  <c r="O22" i="2"/>
  <c r="M20" i="2" l="1"/>
  <c r="O20" i="2" s="1"/>
  <c r="N58" i="2" l="1"/>
  <c r="N57" i="2"/>
  <c r="N56" i="2"/>
  <c r="K56" i="2"/>
  <c r="N55" i="2" l="1"/>
  <c r="M31" i="2" l="1"/>
  <c r="M96" i="2" l="1"/>
  <c r="M87" i="2" l="1"/>
  <c r="O54" i="2"/>
  <c r="M81" i="2" l="1"/>
  <c r="O81" i="2" s="1"/>
  <c r="M33" i="2" l="1"/>
  <c r="O29" i="2" l="1"/>
  <c r="D6" i="7" l="1"/>
  <c r="C28" i="6" l="1"/>
  <c r="C55" i="6"/>
  <c r="C25" i="6" l="1"/>
  <c r="C29" i="6"/>
  <c r="C27" i="6"/>
  <c r="C59" i="6"/>
  <c r="C56" i="6"/>
  <c r="C47" i="6"/>
  <c r="C32" i="6"/>
  <c r="C15" i="6"/>
  <c r="M98" i="2" l="1"/>
  <c r="C16" i="6" l="1"/>
  <c r="C38" i="6" l="1"/>
  <c r="C40" i="6" l="1"/>
  <c r="O52" i="2" l="1"/>
  <c r="M86" i="2"/>
  <c r="M34" i="2" l="1"/>
  <c r="O34" i="2" s="1"/>
  <c r="C37" i="6" l="1"/>
  <c r="E15" i="6" l="1"/>
  <c r="C35" i="6" l="1"/>
  <c r="C36" i="6"/>
  <c r="C39" i="6"/>
  <c r="C11" i="6" l="1"/>
  <c r="C48" i="6" l="1"/>
  <c r="D47" i="6"/>
  <c r="E47" i="6"/>
  <c r="M77" i="2" l="1"/>
  <c r="M95" i="2" l="1"/>
  <c r="N11" i="2" l="1"/>
  <c r="C30" i="6" l="1"/>
  <c r="N28" i="2" l="1"/>
  <c r="N62" i="2"/>
  <c r="K62" i="2"/>
  <c r="N22" i="2"/>
  <c r="N43" i="2"/>
  <c r="K43" i="2"/>
  <c r="P62" i="2" l="1"/>
  <c r="P61" i="2" s="1"/>
  <c r="P59" i="2" s="1"/>
  <c r="P51" i="2" s="1"/>
  <c r="M89" i="2"/>
  <c r="N68" i="2" l="1"/>
  <c r="K68" i="2"/>
  <c r="N65" i="2"/>
  <c r="N66" i="2"/>
  <c r="K65" i="2"/>
  <c r="K66" i="2"/>
  <c r="N63" i="2"/>
  <c r="K63" i="2"/>
  <c r="K58" i="2"/>
  <c r="E46" i="6" l="1"/>
  <c r="D46" i="6"/>
  <c r="E48" i="6"/>
  <c r="D48" i="6" l="1"/>
  <c r="D72" i="2"/>
  <c r="D73" i="2"/>
  <c r="D74" i="2"/>
  <c r="D75" i="2"/>
  <c r="D76" i="2"/>
  <c r="D77" i="2"/>
  <c r="D78" i="2"/>
  <c r="D79" i="2"/>
  <c r="D70" i="2"/>
  <c r="D62" i="2"/>
  <c r="D63" i="2"/>
  <c r="D64" i="2"/>
  <c r="D65" i="2"/>
  <c r="D66" i="2"/>
  <c r="D67" i="2"/>
  <c r="D68" i="2"/>
  <c r="D60" i="2"/>
  <c r="D56" i="2"/>
  <c r="D58" i="2"/>
  <c r="D54" i="2"/>
  <c r="N41" i="2"/>
  <c r="N23" i="2"/>
  <c r="K23" i="2"/>
  <c r="N29" i="2" l="1"/>
  <c r="H126" i="2"/>
  <c r="I126" i="2"/>
  <c r="L15" i="3"/>
  <c r="L14" i="3"/>
  <c r="L10" i="3"/>
  <c r="L9" i="3" s="1"/>
  <c r="L8" i="3" s="1"/>
  <c r="L7" i="3" s="1"/>
  <c r="F16" i="3"/>
  <c r="G16" i="3"/>
  <c r="H16" i="3"/>
  <c r="J13" i="3"/>
  <c r="J12" i="3" s="1"/>
  <c r="J11" i="3" s="1"/>
  <c r="K13" i="3"/>
  <c r="J9" i="3"/>
  <c r="J8" i="3" s="1"/>
  <c r="J7" i="3" s="1"/>
  <c r="K9" i="3"/>
  <c r="K8" i="3" s="1"/>
  <c r="K7" i="3" s="1"/>
  <c r="I9" i="3"/>
  <c r="I8" i="3" s="1"/>
  <c r="I7" i="3" s="1"/>
  <c r="I13" i="3"/>
  <c r="I12" i="3" s="1"/>
  <c r="I11" i="3" s="1"/>
  <c r="O47" i="2"/>
  <c r="O48" i="2"/>
  <c r="O46" i="2"/>
  <c r="N46" i="2"/>
  <c r="N47" i="2"/>
  <c r="N48" i="2"/>
  <c r="N52" i="2"/>
  <c r="N54" i="2"/>
  <c r="N53" i="2" s="1"/>
  <c r="N60" i="2"/>
  <c r="N70" i="2"/>
  <c r="N74" i="2"/>
  <c r="N75" i="2"/>
  <c r="N76" i="2"/>
  <c r="N77" i="2"/>
  <c r="N78" i="2"/>
  <c r="N81" i="2"/>
  <c r="N80" i="2" s="1"/>
  <c r="N83" i="2"/>
  <c r="N84" i="2"/>
  <c r="N85" i="2"/>
  <c r="N86" i="2"/>
  <c r="N87" i="2"/>
  <c r="N89" i="2"/>
  <c r="N88" i="2" s="1"/>
  <c r="N93" i="2"/>
  <c r="N92" i="2" s="1"/>
  <c r="N96" i="2"/>
  <c r="N97" i="2"/>
  <c r="N98" i="2"/>
  <c r="N99" i="2"/>
  <c r="N100" i="2"/>
  <c r="N102" i="2"/>
  <c r="N103" i="2"/>
  <c r="N104" i="2"/>
  <c r="N105" i="2"/>
  <c r="N106" i="2"/>
  <c r="N107" i="2"/>
  <c r="N108" i="2"/>
  <c r="N109" i="2"/>
  <c r="N110" i="2"/>
  <c r="N39" i="2"/>
  <c r="N33" i="2"/>
  <c r="N34" i="2"/>
  <c r="M112" i="2"/>
  <c r="O19" i="2"/>
  <c r="O23" i="2"/>
  <c r="O24" i="2"/>
  <c r="O27" i="2"/>
  <c r="O28" i="2"/>
  <c r="O33" i="2"/>
  <c r="K12" i="3" l="1"/>
  <c r="L13" i="3"/>
  <c r="L12" i="3" s="1"/>
  <c r="L11" i="3" s="1"/>
  <c r="L6" i="3" s="1"/>
  <c r="L16" i="3" s="1"/>
  <c r="N45" i="2"/>
  <c r="N61" i="2"/>
  <c r="N59" i="2" s="1"/>
  <c r="N82" i="2"/>
  <c r="J6" i="3"/>
  <c r="J16" i="3" s="1"/>
  <c r="I6" i="3"/>
  <c r="I16" i="3" s="1"/>
  <c r="M111" i="2"/>
  <c r="M113" i="2"/>
  <c r="O74" i="2"/>
  <c r="O75" i="2"/>
  <c r="O76" i="2"/>
  <c r="O77" i="2"/>
  <c r="O78" i="2"/>
  <c r="J71" i="2"/>
  <c r="K74" i="2"/>
  <c r="M72" i="2"/>
  <c r="K11" i="3" l="1"/>
  <c r="O72" i="2"/>
  <c r="M71" i="2"/>
  <c r="N72" i="2"/>
  <c r="N71" i="2" s="1"/>
  <c r="N69" i="2" s="1"/>
  <c r="N95" i="2"/>
  <c r="N94" i="2" l="1"/>
  <c r="N91" i="2" s="1"/>
  <c r="N90" i="2" s="1"/>
  <c r="K6" i="3"/>
  <c r="K16" i="3" s="1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95" i="2"/>
  <c r="O93" i="2"/>
  <c r="O85" i="2"/>
  <c r="O86" i="2"/>
  <c r="O87" i="2"/>
  <c r="O84" i="2"/>
  <c r="O60" i="2"/>
  <c r="O89" i="2" l="1"/>
  <c r="O83" i="2"/>
  <c r="C6" i="7" l="1"/>
  <c r="E5" i="7" l="1"/>
  <c r="E6" i="7" s="1"/>
  <c r="F5" i="7"/>
  <c r="F6" i="7" s="1"/>
  <c r="O70" i="2" l="1"/>
  <c r="C45" i="6" l="1"/>
  <c r="C44" i="6" s="1"/>
  <c r="E45" i="6" l="1"/>
  <c r="D45" i="6"/>
  <c r="D36" i="6"/>
  <c r="D37" i="6"/>
  <c r="D38" i="6"/>
  <c r="D39" i="6"/>
  <c r="D40" i="6"/>
  <c r="D35" i="6"/>
  <c r="D23" i="6"/>
  <c r="D22" i="6"/>
  <c r="D29" i="6"/>
  <c r="D30" i="6"/>
  <c r="D31" i="6"/>
  <c r="D32" i="6"/>
  <c r="D33" i="6"/>
  <c r="D27" i="6"/>
  <c r="D25" i="6"/>
  <c r="N10" i="2" l="1"/>
  <c r="M35" i="2" l="1"/>
  <c r="J35" i="2"/>
  <c r="N20" i="2"/>
  <c r="K20" i="2"/>
  <c r="J113" i="2"/>
  <c r="F94" i="2"/>
  <c r="J94" i="2"/>
  <c r="K94" i="2"/>
  <c r="M94" i="2"/>
  <c r="J92" i="2"/>
  <c r="J91" i="2" s="1"/>
  <c r="J90" i="2" s="1"/>
  <c r="K92" i="2"/>
  <c r="M92" i="2"/>
  <c r="P92" i="2"/>
  <c r="F92" i="2"/>
  <c r="K91" i="2"/>
  <c r="K90" i="2" s="1"/>
  <c r="J88" i="2"/>
  <c r="K88" i="2"/>
  <c r="M88" i="2"/>
  <c r="O88" i="2" s="1"/>
  <c r="P88" i="2"/>
  <c r="F88" i="2"/>
  <c r="J82" i="2"/>
  <c r="K82" i="2"/>
  <c r="M82" i="2"/>
  <c r="O82" i="2" s="1"/>
  <c r="P82" i="2"/>
  <c r="J80" i="2"/>
  <c r="K80" i="2"/>
  <c r="M80" i="2"/>
  <c r="O80" i="2" s="1"/>
  <c r="P80" i="2"/>
  <c r="F80" i="2"/>
  <c r="K75" i="2"/>
  <c r="K76" i="2"/>
  <c r="K77" i="2"/>
  <c r="K78" i="2"/>
  <c r="K72" i="2"/>
  <c r="J69" i="2"/>
  <c r="M91" i="2" l="1"/>
  <c r="M90" i="2" s="1"/>
  <c r="F91" i="2"/>
  <c r="P91" i="2"/>
  <c r="P90" i="2" s="1"/>
  <c r="J112" i="2"/>
  <c r="J111" i="2" s="1"/>
  <c r="M69" i="2"/>
  <c r="O71" i="2"/>
  <c r="K71" i="2"/>
  <c r="K69" i="2" s="1"/>
  <c r="F71" i="2"/>
  <c r="D71" i="2" s="1"/>
  <c r="E69" i="2"/>
  <c r="J61" i="2"/>
  <c r="J59" i="2" s="1"/>
  <c r="M61" i="2"/>
  <c r="M59" i="2" s="1"/>
  <c r="E59" i="2"/>
  <c r="F61" i="2"/>
  <c r="M55" i="2"/>
  <c r="M53" i="2" s="1"/>
  <c r="J55" i="2"/>
  <c r="J53" i="2" s="1"/>
  <c r="F55" i="2"/>
  <c r="D55" i="2" s="1"/>
  <c r="F45" i="2"/>
  <c r="J45" i="2"/>
  <c r="K45" i="2"/>
  <c r="M45" i="2"/>
  <c r="P45" i="2"/>
  <c r="J17" i="2"/>
  <c r="M17" i="2"/>
  <c r="N16" i="2"/>
  <c r="J15" i="2"/>
  <c r="K15" i="2"/>
  <c r="M15" i="2"/>
  <c r="P15" i="2"/>
  <c r="N15" i="2" l="1"/>
  <c r="F59" i="2"/>
  <c r="D61" i="2"/>
  <c r="O17" i="2"/>
  <c r="N51" i="2"/>
  <c r="N50" i="2" s="1"/>
  <c r="N49" i="2" s="1"/>
  <c r="M51" i="2"/>
  <c r="M50" i="2" s="1"/>
  <c r="J51" i="2"/>
  <c r="K55" i="2"/>
  <c r="K53" i="2" s="1"/>
  <c r="K61" i="2"/>
  <c r="K59" i="2" s="1"/>
  <c r="E60" i="6"/>
  <c r="E56" i="6"/>
  <c r="E57" i="6"/>
  <c r="E58" i="6"/>
  <c r="E55" i="6"/>
  <c r="D56" i="6"/>
  <c r="D57" i="6"/>
  <c r="D58" i="6"/>
  <c r="D59" i="6"/>
  <c r="D60" i="6"/>
  <c r="D55" i="6"/>
  <c r="C53" i="6"/>
  <c r="E51" i="6"/>
  <c r="D51" i="6"/>
  <c r="E44" i="6"/>
  <c r="E43" i="6"/>
  <c r="E42" i="6"/>
  <c r="D41" i="6"/>
  <c r="C41" i="6"/>
  <c r="E36" i="6"/>
  <c r="E37" i="6"/>
  <c r="E38" i="6"/>
  <c r="E39" i="6"/>
  <c r="E40" i="6"/>
  <c r="E35" i="6"/>
  <c r="D34" i="6"/>
  <c r="C34" i="6"/>
  <c r="E27" i="6"/>
  <c r="E29" i="6"/>
  <c r="E30" i="6"/>
  <c r="E31" i="6"/>
  <c r="E32" i="6"/>
  <c r="E33" i="6"/>
  <c r="E25" i="6"/>
  <c r="E23" i="6"/>
  <c r="E22" i="6"/>
  <c r="D21" i="6"/>
  <c r="C21" i="6"/>
  <c r="E19" i="6"/>
  <c r="D19" i="6"/>
  <c r="E16" i="6"/>
  <c r="E17" i="6"/>
  <c r="D16" i="6"/>
  <c r="D17" i="6"/>
  <c r="D15" i="6"/>
  <c r="C14" i="6"/>
  <c r="E10" i="6"/>
  <c r="E11" i="6"/>
  <c r="E12" i="6"/>
  <c r="E9" i="6"/>
  <c r="D10" i="6"/>
  <c r="D11" i="6"/>
  <c r="D12" i="6"/>
  <c r="D9" i="6"/>
  <c r="C8" i="6"/>
  <c r="D8" i="6" l="1"/>
  <c r="D14" i="6"/>
  <c r="M49" i="2"/>
  <c r="J50" i="2"/>
  <c r="J49" i="2" s="1"/>
  <c r="K51" i="2"/>
  <c r="D53" i="6"/>
  <c r="D44" i="6"/>
  <c r="E59" i="6"/>
  <c r="K50" i="2" l="1"/>
  <c r="K49" i="2" s="1"/>
  <c r="O11" i="2"/>
  <c r="O12" i="2"/>
  <c r="O14" i="2"/>
  <c r="O10" i="2"/>
  <c r="N14" i="2"/>
  <c r="J9" i="2"/>
  <c r="J8" i="2" s="1"/>
  <c r="J7" i="2" s="1"/>
  <c r="J126" i="2" s="1"/>
  <c r="K9" i="2"/>
  <c r="M9" i="2"/>
  <c r="M8" i="2" s="1"/>
  <c r="M7" i="2" s="1"/>
  <c r="F116" i="2"/>
  <c r="G116" i="2" s="1"/>
  <c r="F117" i="2"/>
  <c r="F115" i="2"/>
  <c r="K117" i="2" l="1"/>
  <c r="G117" i="2"/>
  <c r="K115" i="2"/>
  <c r="G115" i="2"/>
  <c r="N114" i="2"/>
  <c r="K116" i="2"/>
  <c r="F114" i="2"/>
  <c r="N9" i="2"/>
  <c r="F61" i="6"/>
  <c r="B53" i="6"/>
  <c r="E53" i="6" s="1"/>
  <c r="B41" i="6"/>
  <c r="E41" i="6" s="1"/>
  <c r="B34" i="6"/>
  <c r="E34" i="6" s="1"/>
  <c r="B24" i="6"/>
  <c r="B21" i="6"/>
  <c r="E21" i="6" s="1"/>
  <c r="B14" i="6"/>
  <c r="E14" i="6" s="1"/>
  <c r="B8" i="6"/>
  <c r="E8" i="6" s="1"/>
  <c r="G126" i="2" l="1"/>
  <c r="K114" i="2"/>
  <c r="P112" i="2"/>
  <c r="P111" i="2" s="1"/>
  <c r="P8" i="2" s="1"/>
  <c r="P113" i="2"/>
  <c r="N112" i="2"/>
  <c r="N111" i="2" s="1"/>
  <c r="N113" i="2"/>
  <c r="B61" i="6"/>
  <c r="J6" i="2"/>
  <c r="E112" i="2" l="1"/>
  <c r="E111" i="2" s="1"/>
  <c r="D111" i="2"/>
  <c r="S114" i="2"/>
  <c r="O114" i="2" l="1"/>
  <c r="E111" i="4"/>
  <c r="D4" i="4" s="1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F94" i="4"/>
  <c r="F90" i="4" s="1"/>
  <c r="E94" i="4"/>
  <c r="D93" i="4"/>
  <c r="E92" i="4"/>
  <c r="D92" i="4" s="1"/>
  <c r="D91" i="4"/>
  <c r="D89" i="4"/>
  <c r="D88" i="4" s="1"/>
  <c r="E88" i="4"/>
  <c r="D87" i="4"/>
  <c r="D86" i="4"/>
  <c r="D85" i="4"/>
  <c r="D84" i="4"/>
  <c r="D83" i="4"/>
  <c r="F82" i="4"/>
  <c r="E82" i="4"/>
  <c r="D80" i="4"/>
  <c r="D71" i="4"/>
  <c r="D63" i="4"/>
  <c r="D59" i="4"/>
  <c r="D58" i="4"/>
  <c r="F57" i="4"/>
  <c r="E57" i="4"/>
  <c r="D54" i="4"/>
  <c r="D53" i="4"/>
  <c r="D52" i="4"/>
  <c r="E51" i="4"/>
  <c r="D50" i="4"/>
  <c r="D49" i="4"/>
  <c r="D48" i="4"/>
  <c r="F47" i="4"/>
  <c r="F46" i="4"/>
  <c r="D45" i="4"/>
  <c r="F44" i="4"/>
  <c r="D44" i="4" s="1"/>
  <c r="F42" i="4"/>
  <c r="E41" i="4"/>
  <c r="F40" i="4"/>
  <c r="F39" i="4"/>
  <c r="F38" i="4"/>
  <c r="F37" i="4"/>
  <c r="F36" i="4"/>
  <c r="F35" i="4"/>
  <c r="F34" i="4"/>
  <c r="F33" i="4"/>
  <c r="D32" i="4"/>
  <c r="F31" i="4"/>
  <c r="D30" i="4"/>
  <c r="D29" i="4"/>
  <c r="F28" i="4"/>
  <c r="D27" i="4"/>
  <c r="D26" i="4"/>
  <c r="F25" i="4"/>
  <c r="D24" i="4"/>
  <c r="D23" i="4"/>
  <c r="F22" i="4"/>
  <c r="E21" i="4"/>
  <c r="D20" i="4"/>
  <c r="D19" i="4" s="1"/>
  <c r="F19" i="4"/>
  <c r="E19" i="4"/>
  <c r="D18" i="4"/>
  <c r="D17" i="4"/>
  <c r="D16" i="4"/>
  <c r="D15" i="4"/>
  <c r="D14" i="4"/>
  <c r="F13" i="4"/>
  <c r="E13" i="4"/>
  <c r="D13" i="3"/>
  <c r="D12" i="3" s="1"/>
  <c r="D11" i="3" s="1"/>
  <c r="E13" i="3"/>
  <c r="E12" i="3" s="1"/>
  <c r="E11" i="3" s="1"/>
  <c r="D9" i="3"/>
  <c r="D8" i="3" s="1"/>
  <c r="D7" i="3" s="1"/>
  <c r="E9" i="3"/>
  <c r="E8" i="3" s="1"/>
  <c r="E7" i="3" s="1"/>
  <c r="C9" i="3"/>
  <c r="C8" i="3" s="1"/>
  <c r="C7" i="3" s="1"/>
  <c r="C13" i="3"/>
  <c r="E11" i="4" l="1"/>
  <c r="F55" i="4"/>
  <c r="C12" i="3"/>
  <c r="M13" i="3"/>
  <c r="D57" i="4"/>
  <c r="D82" i="4"/>
  <c r="E6" i="3"/>
  <c r="E16" i="3" s="1"/>
  <c r="D6" i="3"/>
  <c r="B5" i="5" s="1"/>
  <c r="D5" i="5" s="1"/>
  <c r="D51" i="4"/>
  <c r="D13" i="4"/>
  <c r="F21" i="4"/>
  <c r="D21" i="4"/>
  <c r="D94" i="4"/>
  <c r="E55" i="4"/>
  <c r="D90" i="4"/>
  <c r="F112" i="2"/>
  <c r="F113" i="2"/>
  <c r="E90" i="4"/>
  <c r="D55" i="4"/>
  <c r="F43" i="4"/>
  <c r="E10" i="4" l="1"/>
  <c r="D3" i="4" s="1"/>
  <c r="D16" i="3"/>
  <c r="C11" i="3"/>
  <c r="M12" i="3"/>
  <c r="F111" i="2"/>
  <c r="O111" i="2" s="1"/>
  <c r="O112" i="2"/>
  <c r="D113" i="2"/>
  <c r="O113" i="2"/>
  <c r="D43" i="4"/>
  <c r="D41" i="4" s="1"/>
  <c r="D11" i="4" s="1"/>
  <c r="D10" i="4" s="1"/>
  <c r="F41" i="4"/>
  <c r="F11" i="4" s="1"/>
  <c r="F10" i="4" s="1"/>
  <c r="E112" i="4"/>
  <c r="D39" i="2"/>
  <c r="F38" i="2"/>
  <c r="E125" i="2"/>
  <c r="D110" i="2"/>
  <c r="S109" i="2"/>
  <c r="S110" i="2" s="1"/>
  <c r="D109" i="2"/>
  <c r="D108" i="2"/>
  <c r="D107" i="2"/>
  <c r="D106" i="2"/>
  <c r="D105" i="2"/>
  <c r="S104" i="2"/>
  <c r="S105" i="2" s="1"/>
  <c r="S106" i="2" s="1"/>
  <c r="S107" i="2" s="1"/>
  <c r="S108" i="2" s="1"/>
  <c r="D104" i="2"/>
  <c r="D103" i="2"/>
  <c r="D102" i="2"/>
  <c r="D101" i="2"/>
  <c r="D100" i="2"/>
  <c r="D99" i="2"/>
  <c r="D98" i="2"/>
  <c r="D97" i="2"/>
  <c r="D96" i="2"/>
  <c r="D95" i="2"/>
  <c r="F90" i="2"/>
  <c r="E94" i="2"/>
  <c r="O94" i="2" s="1"/>
  <c r="D93" i="2"/>
  <c r="S92" i="2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E92" i="2"/>
  <c r="S90" i="2"/>
  <c r="S91" i="2" s="1"/>
  <c r="D89" i="2"/>
  <c r="D88" i="2" s="1"/>
  <c r="E88" i="2"/>
  <c r="D87" i="2"/>
  <c r="D86" i="2"/>
  <c r="D85" i="2"/>
  <c r="D84" i="2"/>
  <c r="D83" i="2"/>
  <c r="S82" i="2"/>
  <c r="S83" i="2" s="1"/>
  <c r="S84" i="2" s="1"/>
  <c r="S85" i="2" s="1"/>
  <c r="S86" i="2" s="1"/>
  <c r="S87" i="2" s="1"/>
  <c r="S88" i="2" s="1"/>
  <c r="S89" i="2" s="1"/>
  <c r="F82" i="2"/>
  <c r="E82" i="2"/>
  <c r="S81" i="2"/>
  <c r="S69" i="2"/>
  <c r="S72" i="2" s="1"/>
  <c r="S73" i="2" s="1"/>
  <c r="S78" i="2" s="1"/>
  <c r="S79" i="2" s="1"/>
  <c r="S80" i="2" s="1"/>
  <c r="D69" i="2"/>
  <c r="O69" i="2" s="1"/>
  <c r="S59" i="2"/>
  <c r="S62" i="2" s="1"/>
  <c r="S63" i="2" s="1"/>
  <c r="S68" i="2" s="1"/>
  <c r="D59" i="2"/>
  <c r="O59" i="2" s="1"/>
  <c r="D53" i="2"/>
  <c r="O53" i="2" s="1"/>
  <c r="D52" i="2"/>
  <c r="F51" i="2"/>
  <c r="F49" i="2" s="1"/>
  <c r="E51" i="2"/>
  <c r="D48" i="2"/>
  <c r="D47" i="2"/>
  <c r="D46" i="2"/>
  <c r="E45" i="2"/>
  <c r="O45" i="2" s="1"/>
  <c r="D44" i="2"/>
  <c r="S43" i="2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6" i="2" s="1"/>
  <c r="S57" i="2" s="1"/>
  <c r="S58" i="2" s="1"/>
  <c r="D43" i="2"/>
  <c r="S42" i="2"/>
  <c r="D42" i="2"/>
  <c r="S41" i="2"/>
  <c r="F41" i="2"/>
  <c r="K41" i="2" s="1"/>
  <c r="K35" i="2" s="1"/>
  <c r="F40" i="2"/>
  <c r="N40" i="2" s="1"/>
  <c r="S34" i="2"/>
  <c r="S35" i="2" s="1"/>
  <c r="S36" i="2" s="1"/>
  <c r="S37" i="2" s="1"/>
  <c r="S40" i="2" s="1"/>
  <c r="F34" i="2"/>
  <c r="K34" i="2" s="1"/>
  <c r="S33" i="2"/>
  <c r="F33" i="2"/>
  <c r="K33" i="2" s="1"/>
  <c r="S32" i="2"/>
  <c r="S31" i="2"/>
  <c r="F31" i="2"/>
  <c r="K31" i="2" s="1"/>
  <c r="F30" i="2"/>
  <c r="S29" i="2"/>
  <c r="S30" i="2" s="1"/>
  <c r="D28" i="2"/>
  <c r="S27" i="2"/>
  <c r="S28" i="2" s="1"/>
  <c r="F27" i="2"/>
  <c r="D25" i="2"/>
  <c r="F24" i="2"/>
  <c r="D23" i="2"/>
  <c r="D22" i="2"/>
  <c r="F21" i="2"/>
  <c r="K21" i="2" s="1"/>
  <c r="D20" i="2"/>
  <c r="D19" i="2"/>
  <c r="S19" i="2"/>
  <c r="S20" i="2" s="1"/>
  <c r="S21" i="2" s="1"/>
  <c r="S22" i="2" s="1"/>
  <c r="S23" i="2" s="1"/>
  <c r="S24" i="2" s="1"/>
  <c r="S25" i="2" s="1"/>
  <c r="S26" i="2" s="1"/>
  <c r="E17" i="2"/>
  <c r="D16" i="2"/>
  <c r="F15" i="2"/>
  <c r="E15" i="2"/>
  <c r="O15" i="2" s="1"/>
  <c r="D14" i="2"/>
  <c r="D12" i="2"/>
  <c r="D11" i="2"/>
  <c r="D10" i="2"/>
  <c r="F9" i="2"/>
  <c r="E9" i="2"/>
  <c r="F37" i="2" l="1"/>
  <c r="N38" i="2"/>
  <c r="N37" i="2" s="1"/>
  <c r="N35" i="2" s="1"/>
  <c r="K27" i="2"/>
  <c r="K17" i="2" s="1"/>
  <c r="E50" i="2"/>
  <c r="M11" i="3"/>
  <c r="C6" i="3"/>
  <c r="D15" i="2"/>
  <c r="O16" i="2"/>
  <c r="N17" i="2"/>
  <c r="O9" i="2"/>
  <c r="E8" i="2"/>
  <c r="F50" i="2"/>
  <c r="D50" i="2" s="1"/>
  <c r="O50" i="2" s="1"/>
  <c r="D92" i="2"/>
  <c r="E91" i="2"/>
  <c r="O92" i="2"/>
  <c r="E7" i="2"/>
  <c r="D38" i="2"/>
  <c r="D35" i="2" s="1"/>
  <c r="E90" i="2"/>
  <c r="O90" i="2" s="1"/>
  <c r="D112" i="4"/>
  <c r="D2" i="4"/>
  <c r="D5" i="4" s="1"/>
  <c r="F112" i="4"/>
  <c r="O51" i="2"/>
  <c r="D17" i="2"/>
  <c r="D45" i="2"/>
  <c r="E49" i="2"/>
  <c r="D94" i="2"/>
  <c r="F17" i="2"/>
  <c r="D82" i="2"/>
  <c r="D9" i="2"/>
  <c r="P7" i="2" l="1"/>
  <c r="P6" i="2" s="1"/>
  <c r="C16" i="3"/>
  <c r="M16" i="3" s="1"/>
  <c r="M6" i="3"/>
  <c r="D90" i="2"/>
  <c r="N8" i="2"/>
  <c r="N7" i="2" s="1"/>
  <c r="F8" i="2"/>
  <c r="D8" i="2" s="1"/>
  <c r="O8" i="2" s="1"/>
  <c r="O91" i="2"/>
  <c r="D91" i="2"/>
  <c r="E6" i="2"/>
  <c r="O49" i="2"/>
  <c r="E126" i="2"/>
  <c r="C4" i="5" s="1"/>
  <c r="C6" i="5" s="1"/>
  <c r="F7" i="2"/>
  <c r="P126" i="2" l="1"/>
  <c r="F126" i="2"/>
  <c r="F6" i="2"/>
  <c r="B4" i="5" l="1"/>
  <c r="B6" i="5" s="1"/>
  <c r="D6" i="2"/>
  <c r="D4" i="5" l="1"/>
  <c r="D6" i="5" s="1"/>
  <c r="K113" i="2"/>
  <c r="K112" i="2"/>
  <c r="D7" i="2"/>
  <c r="K111" i="2" l="1"/>
  <c r="K8" i="2" s="1"/>
  <c r="K7" i="2" s="1"/>
  <c r="K126" i="2" s="1"/>
  <c r="D126" i="2"/>
  <c r="O7" i="2"/>
  <c r="K6" i="2" l="1"/>
  <c r="E28" i="6" l="1"/>
  <c r="D28" i="6"/>
  <c r="D24" i="6" s="1"/>
  <c r="D61" i="6" s="1"/>
  <c r="C24" i="6"/>
  <c r="E24" i="6" s="1"/>
  <c r="C61" i="6" l="1"/>
  <c r="E61" i="6" l="1"/>
  <c r="M125" i="2"/>
  <c r="M126" i="2" s="1"/>
  <c r="M6" i="2" l="1"/>
  <c r="O6" i="2" s="1"/>
  <c r="N125" i="2"/>
  <c r="N119" i="2" s="1"/>
  <c r="O125" i="2"/>
  <c r="O126" i="2"/>
  <c r="M119" i="2" l="1"/>
  <c r="O119" i="2" s="1"/>
  <c r="N6" i="2"/>
  <c r="N126" i="2"/>
</calcChain>
</file>

<file path=xl/sharedStrings.xml><?xml version="1.0" encoding="utf-8"?>
<sst xmlns="http://schemas.openxmlformats.org/spreadsheetml/2006/main" count="782" uniqueCount="408">
  <si>
    <t>รวม 3 ประเด็นยุทธศาสตร์</t>
  </si>
  <si>
    <t>งบบริหารจัดการ</t>
  </si>
  <si>
    <t>อำเภอป่าโมก</t>
  </si>
  <si>
    <t>งานมหกรรมกลองนานาชาติ</t>
  </si>
  <si>
    <t>งานรำลึกประพาสต้นล้นเกล้ารัชกาลที่ 5</t>
  </si>
  <si>
    <t>งานเทศกาลกินผัดไทย ไหว้พระสมเด็จเกษไชโย</t>
  </si>
  <si>
    <t>อำเภอไชโย</t>
  </si>
  <si>
    <t>งานรำลึกสมเด็จพระพุฒาจารย์ (โต พรหมรังสี)</t>
  </si>
  <si>
    <t>อำเภอโพธิ์ทอง</t>
  </si>
  <si>
    <t>งานเทศกาลไหว้พระนอนวัดขุนอินทประมูล</t>
  </si>
  <si>
    <t>อำเภอสามโก้</t>
  </si>
  <si>
    <t>งานมหกรรมมะม่วงส่งออกและของดีอำเภอสามโก้</t>
  </si>
  <si>
    <t>งานมหกรรมลิเก</t>
  </si>
  <si>
    <t>อำเภอวิเศษชัยชาญ</t>
  </si>
  <si>
    <t xml:space="preserve">งานรำลึกวีรชนแขวงเมืองวิเศษไชยชาญ </t>
  </si>
  <si>
    <t>อำเภอแสวงหา</t>
  </si>
  <si>
    <t xml:space="preserve">งานสดุดีวีรชนคนแสวงหา </t>
  </si>
  <si>
    <t xml:space="preserve">งานเกษตรและของดีเมืองอ่างทอง </t>
  </si>
  <si>
    <t xml:space="preserve">งานมหกรรมกินกุ้งใหญ่ กินไข่นกกระทา กินผักปลาปลอดสารพิษ  </t>
  </si>
  <si>
    <t xml:space="preserve">งานสดุดีวีรชนพันท้ายนรสิงห์ </t>
  </si>
  <si>
    <t xml:space="preserve">งานรำลึกสมเด็จพระนเรศวรมหาราช  </t>
  </si>
  <si>
    <t>งานรำลึกรัชกาลที่ 9</t>
  </si>
  <si>
    <t>งานรำลึกวีรชนคนถูกลืม ขุนรองปลัดชู</t>
  </si>
  <si>
    <t>งานแข่งขันเรือพาย</t>
  </si>
  <si>
    <t>กิจกรรมหลักที่ 2 การพัฒนาผลิตภัณฑ์และกิจกรรมการท่องเที่ยว</t>
  </si>
  <si>
    <t>พัฒนาเครือข่ายการท่องเที่ยวชุมชนอย่างสร้างสรรค์</t>
  </si>
  <si>
    <t>กิจกรรมหลักที่ 1 พัฒนาศักยภาพบุคลากรด้านการท่องเที่ยว</t>
  </si>
  <si>
    <t>โครงการท่องเที่ยวเชิงวัฒนธรรมจังหวัดอ่างทอง</t>
  </si>
  <si>
    <t>กิจกรรมหลักที่ 4 พัฒนาช่องทางการตลาด</t>
  </si>
  <si>
    <t>พัฒนาศักยภาพผู้ประกอบการผลิตภัณฑ์ชุมชน</t>
  </si>
  <si>
    <t>ตรวจรับรองมาตรฐานพืชปลอดภัย</t>
  </si>
  <si>
    <t>กิจกรรมอาหารสดปลอดภัยไร้สารปนเปื้อนอันตราย</t>
  </si>
  <si>
    <t>กิจกรรมหลักที่ 2 พัฒนาศักยภาพบุคคลากรด้านการเกษตรและผู้ประกอบการ</t>
  </si>
  <si>
    <t xml:space="preserve"> (8) ปรับปรุงห้องน้ำ-ห้องส้วม </t>
  </si>
  <si>
    <t xml:space="preserve"> (7) ปรับปรุงซ่อมแซมอาคารศูนย์ข้อมูลเกษตรกรรม </t>
  </si>
  <si>
    <t xml:space="preserve"> (5) เครื่องสูบน้ำ 4 จังหวะ ขนาด 7 แรงม้า พร้อมอุปกรณ์ </t>
  </si>
  <si>
    <t xml:space="preserve"> (4) เครื่องตัดหญ้าข้อเหวี่ยง 4 จังหวะ </t>
  </si>
  <si>
    <t xml:space="preserve"> (3) รถเข็นตัดหญ้าแบบมีกล่องเก็บ </t>
  </si>
  <si>
    <t xml:space="preserve">(2) รถแทรกเตอร์ชนิดขับเคลื่อน 4 ล้อ ขนาด 40 แรงม้า พร้อมอุปกรณ์ต่อพ่วงเครื่องตัดหญ้า </t>
  </si>
  <si>
    <t xml:space="preserve"> (1) ตู้เชื่อมไฟฟ้าแบบมีหูหิ้ว ขนาด 220 โวลต์ </t>
  </si>
  <si>
    <t xml:space="preserve"> (7) ก่อสร้างศาลาริมน้ำ </t>
  </si>
  <si>
    <t xml:space="preserve"> (5) ก่อสร้างโรงเรือนเพาะชำโครงเหล็กคลุมตาข่าย </t>
  </si>
  <si>
    <t xml:space="preserve"> (4) ก่อสร้างบันไดท่าน้ำ </t>
  </si>
  <si>
    <t xml:space="preserve"> (2) ต่อเติมอาคารพลับพลาทรงงาน </t>
  </si>
  <si>
    <t xml:space="preserve"> (2) โรงเรือนเพาะชำโครงเหล็กคลุมตาข่าย </t>
  </si>
  <si>
    <t xml:space="preserve"> (1) ก่อสร้างโรงกรองน้ำดื่ม RO พร้อมวัสดุอุปกรณ์ </t>
  </si>
  <si>
    <t>ส่งเสริมและพัฒนาการเพาะเลี้ยงสัตว์น้ำจืดสู่มาตรฐาน (GAP)</t>
  </si>
  <si>
    <t>กิจกรรมหลักที่ 1 พัฒนาปัจจัยพื้นฐานผลิตภัณฑ์</t>
  </si>
  <si>
    <t>โครงการส่งเสริมและพัฒนาการผลิตสินค้าเกษตรและผลิตภัณฑ์ชุมชนสู่มาตรฐานสากล</t>
  </si>
  <si>
    <t>เพิ่มพื้นที่สีเขียวในจังหวัดอ่างทอง</t>
  </si>
  <si>
    <t>กิจกรรมหลักที่ 5 รักษาสมดุลธรรมชาติและสิ่งแวดล้อม</t>
  </si>
  <si>
    <t>โครงการชลประทานอ่างทอง</t>
  </si>
  <si>
    <t>แขวงทางหลวงอ่างทอง</t>
  </si>
  <si>
    <t>กิจกรรมหลักที่ 3 ปรับปรุงและพัฒนาโครงสร้างพื้นฐาน</t>
  </si>
  <si>
    <t>พอเพียงเพื่อพ่อ</t>
  </si>
  <si>
    <t>กิจกรรมหลักที่ 2 ส่งเสริมอาชีพ สร้างโอกาส สร้างรายได้ ของประชาชน</t>
  </si>
  <si>
    <t>ค่ายปรับเปลี่ยนพฤติกรรม (ศูนย์ขวัญแผ่นดิน)</t>
  </si>
  <si>
    <t>ศอ.ปส.จ.อท</t>
  </si>
  <si>
    <t>กิจกรรมหลักที่ 1 เสริมสร้างความปลอดภัยในชีวิตและทรัพย์สิน</t>
  </si>
  <si>
    <t>ประเด็นยุทธศาสตร์ที่ 1 พัฒนาเมืองน่าอยู่ สู่สังคมมั่นคง และเป็นสุข</t>
  </si>
  <si>
    <t>งบลงทุน</t>
  </si>
  <si>
    <t>งบดำเนินงาน</t>
  </si>
  <si>
    <t>รวม</t>
  </si>
  <si>
    <t>งบประมาณ (บาท)</t>
  </si>
  <si>
    <t>ประเด็นยุทธศาสตร์/
โครงการตามแผนพัฒนาจังหวัด</t>
  </si>
  <si>
    <t>โครงการตามแผนปฏิบัติราชการประจำปี พ.ศ. 2562 ของจังหวัดอ่างทอง</t>
  </si>
  <si>
    <t>ตำรวจภูธรจังหวัดอ่างทอง</t>
  </si>
  <si>
    <t xml:space="preserve">ก่อสร้างสะพานคอนกรีตเสริมเหล็ก หมู่ที่ 2 ตำบลตลาดกรวด อำเภอเมืองอ่างทอง จังหวัดอ่างทอง </t>
  </si>
  <si>
    <t>ก่อสร้างถนนคอนกรีตเสริมเหล็กพร้อมรางระบายน้ำคอนกรีตเสริมเหล็ก บริเวณที่ว่าการอำเภอโพธิ์ทอง อำเภอโพธิ์ทอง จังหวัดอ่างทอง</t>
  </si>
  <si>
    <t>หน่วยดำเนินการ</t>
  </si>
  <si>
    <t>โครงการส่งเสริมและพัฒนาจังหวัดอ่างทองให้เป็นเมืองน่าอยู่ 
สู่สังคมมั่นคง และเป็นสุข</t>
  </si>
  <si>
    <t>ป้องกันและแก้ไขปัญหายาเสพติด (No place For Drug)</t>
  </si>
  <si>
    <t>ขับเคลื่อนชมรม To be number one จังหวัดอ่างทอง</t>
  </si>
  <si>
    <t>ศอ.ปส.จ.อท.</t>
  </si>
  <si>
    <t>ค่ายปลูกจิตสำนึก พัฒนาศักยภาพคืนคนดีสู่สังคมอย่างยั่งยืน</t>
  </si>
  <si>
    <t>สนง.คุมประพฤติจังหวัด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</si>
  <si>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</si>
  <si>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สนง.สวัสดิการและคุ้มครองแรงงานจังหวัดอ่างทอง</t>
  </si>
  <si>
    <t>สนง.พัฒนาชุมชนจังหวัด</t>
  </si>
  <si>
    <t>ก่อสร้างท่อระบายน้ำพร้อมคันหินทางเท้า จากแยกถนนเทศบาล 6 
ถึงถนนเทศบาล 1 ตำบลตลาดหลวง อำเภอเมืองอ่างทอง จังหวัดอ่างทอง</t>
  </si>
  <si>
    <t>อ.เมืองอ่างทอง</t>
  </si>
  <si>
    <t xml:space="preserve">ก่อสร้างถนนคอนกรีตเสริมเหล็กพร้อมขยายเขตไฟฟ้าสาธารณะและไฟส่องสว่าง บริเวณอาคารพิพิธภัณฑ์เรือนไทย หมู่ที่ 6 ตำบลไผ่ดำพัฒนา อำเภอวิเศษชัยชาญ จังหวัดอ่างทอง </t>
  </si>
  <si>
    <t>ก่อสร้างสะพานคอนกรีตเสริมเหล็ก หมู่ที่ 8 ตำบลศาลเจ้าโรงทอง 
อำเภอวิเศษชัยชาญ จังหวัดอ่างทอง</t>
  </si>
  <si>
    <t>อ.วิเศษชัยชาญ</t>
  </si>
  <si>
    <t>อ..โพธิ์ทอง</t>
  </si>
  <si>
    <t xml:space="preserve"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อำเภอแสวงหา จังหวัดอ่างทอง </t>
  </si>
  <si>
    <t xml:space="preserve">ปรับปรุงถนน คสล. โดยลาดยางแอสฟัลท์ติก หมู่ที่ 5 บริเวณถนนไปทาง
ศาลเจ้าแม่สายบัว ตำบลโรงช้าง อำเภอป่าโมก จังหวัดอ่างทอง </t>
  </si>
  <si>
    <t>อ.ไชโย</t>
  </si>
  <si>
    <t>ติดตั้งไฟฟ้าแสงสว่างทางหลวงหมายเลข 309 ตอนควบคุม 0202 
(ตอนแยกที่ดิน-ไชโย)</t>
  </si>
  <si>
    <t>กิจกรรมหลักที่ 4 บริหารจัดการน้ำแบบบูรณาการ</t>
  </si>
  <si>
    <t>ปรับปรุงคันป้องกันน้ำท่วมบริเวณชุมชนบ้านรอ ตำบลบางแก้ว ถึงประตูน้ำ
คลองบางแก้ว หมู่ที่ 10 ตำบลบ้านอิฐ อำเภอเมืองอ่างทอง จังหวัดอ่างทอง</t>
  </si>
  <si>
    <t>สนง.โยธาธิการและผังเมือง
จังหวัด</t>
  </si>
  <si>
    <t>ขุดลอกคลองบ้านลาดตาล ตำบลสาวรองไห้ อำเภอวิเศษชัยชาญ จังหวัดอ่างทอง</t>
  </si>
  <si>
    <t>โครงการชลประทาน</t>
  </si>
  <si>
    <t xml:space="preserve">งานขุดลอกหนองกระทุ่ม ตำบลบ่อแร่ อำเภอโพธิ์ทอง จังหวัดอ่างทอง </t>
  </si>
  <si>
    <t xml:space="preserve">ก่อสร้างระบบกระจายน้ำชนิดคูส่งน้ำดาดคอนกรีต เพื่อช่วยเหลือพื้นที่เกษตรกรรม หมู่ที่ 1 ตำบลรำมะสัก อำเภอโพธิ์ทอง จังหวัดอ่างทอง </t>
  </si>
  <si>
    <t>บริหารจัดการขยะและของเสียอันตรายอย่างมีส่วนร่วม</t>
  </si>
  <si>
    <t>สนง.ทรัพยากรธรรมชาติ
และสิ่งแวดล้อมจังหวัด</t>
  </si>
  <si>
    <t>ป้องกันและแก้ไขปัญหาคุณภาพน้ำในแหล่งน้ำธรรมชาติ</t>
  </si>
  <si>
    <t>ประเด็นยุทธศาสตร์ที่ 2 พัฒนาผลิตภัณฑ์สู่ระดับมาตรฐานสากล</t>
  </si>
  <si>
    <t>สนง.ประมงจังหวัด</t>
  </si>
  <si>
    <t>ส่งเสริมและพัฒนาฟาร์มตัวอย่างตามพระราชดำริในสมเด็จพระนางเจ้าสิริกิติ์ฯ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</si>
  <si>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>สนง.เกษตรและสหกรณ์จังหวัดอ่างทอง</t>
  </si>
  <si>
    <t xml:space="preserve"> (1) ปรับปรุงอาคารเฉลิมพระเกียรติ 74 พรรษา สมเด็จพระนางเจ้าสิริกิติ์พระบรมราชินีนาถ 
หมู่ที่ 8 (หนองคลองหนองล้น)  ตำบลโพสะ อำเภอเมืองอ่างทอง จังหวัดอ่างทอง</t>
  </si>
  <si>
    <t>สนง.สาธารณสุขจังหวัด</t>
  </si>
  <si>
    <t>สนับสนุนการดำเนินงานของศพก./แปลงใหญ่ จังหวัดอ่างทอง</t>
  </si>
  <si>
    <t>สนง.เกษตรจังหวัด</t>
  </si>
  <si>
    <t>ส่งเสริมและพัฒนาการแปรรูปและผลิตภัณฑ์สู่มาตรฐาน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</si>
  <si>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</si>
  <si>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</si>
  <si>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สนง.การท่องเที่ยวและกีฬาจังหวัด</t>
  </si>
  <si>
    <t xml:space="preserve"> - อำเภอสามโก้
 - อำเภอป่าโมก</t>
  </si>
  <si>
    <t>ที่ทำการปกครองจังหวัด</t>
  </si>
  <si>
    <t>สำนักงานประมงจังหวัด</t>
  </si>
  <si>
    <t>สนง.เกษตรและสหกรณ์จังหวัด</t>
  </si>
  <si>
    <t xml:space="preserve"> อำเภอไชโย</t>
  </si>
  <si>
    <t xml:space="preserve">ปรับปรุงถนนคอนกรีตเสริมเหล็ก โดยเสริมผิวแอสฟัลท์ติก ถนนเส้นวัดเชิงหวาย
- แยกหนองเจ็ดเส้น ตำบลหัวไผ่ อำเภอเมืองอ่างทอง จังหวัดอ่างทอง </t>
  </si>
  <si>
    <t>งบประมาณรวมทั้งสิ้น</t>
  </si>
  <si>
    <t>บาท</t>
  </si>
  <si>
    <t>ข้อมูล ณ วันที่ 8 สิงหาคม 2561</t>
  </si>
  <si>
    <t xml:space="preserve"> (3) ก่อสร้างผิวทางพาราแอสฟัลต์คอนกรีต </t>
  </si>
  <si>
    <t xml:space="preserve">ส่งเสริมและพัฒนาฟาร์มตัวอย่างตามพระราชดำริในสมเด็จพระนางเจ้าสิริกิติ์ ฯ พระบรมราชินีนาถ หนองระหารจีน ตำบลบ้านอิฐ อำเภอเมืองอ่างทอง 
จังหวัดอ่างทอง </t>
  </si>
  <si>
    <t xml:space="preserve"> (3) ปรับปรุงโรงเรือนผลิตต้นอ่อน</t>
  </si>
  <si>
    <t xml:space="preserve"> (6) ก่อสร้างผิวทางพาราแอสฟัลต์คอนกรีต </t>
  </si>
  <si>
    <t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</t>
  </si>
  <si>
    <t xml:space="preserve"> (6) ปรับปรุงโรงเรือนเพาะเห็ด</t>
  </si>
  <si>
    <t xml:space="preserve">กิจกรรมหลักที่ 3 ยกระดับคุณภาพสินค้าการเกษตรและการแปรรูป
</t>
  </si>
  <si>
    <t xml:space="preserve">ก่อสร้างระบบกระจายน้ำชนิดคูส่งน้ำดาดคอนกรีตเพื่อช่วยเหลือพื้นที่เกษตรกรรม 
หมู่ที่ 2 ตำบลรำมะสัก อำเภอโพธิ์ทอง จังหวัดอ่างทอง </t>
  </si>
  <si>
    <t>ปรับปรุงเขื่อนป้องกันตลิ่งริมแม่น้ำเจ้าพระยา บริเวณตั้งแต่ประตูน้ำวัดสนามชัย 
ถึงคันดินของเทศบาล ตำบลตลาดหลวง อำเภอเมืองอ่างทอง จังหวัดอ่างทอง</t>
  </si>
  <si>
    <t xml:space="preserve"> - ก่อสร้างโรงสูบน้ำ</t>
  </si>
  <si>
    <t xml:space="preserve"> - เครื่องสูบน้ำแบบ Vertical turbine pump มีความสามารถสูบน้ำได้ไม่น้อยกว่า 600 ลบ.ม./ชั่วโมง 
ที่ HEAD 15 เมตร และตามคุณลักษณะทั่วไป จำนวน 3 ชุด</t>
  </si>
  <si>
    <t xml:space="preserve">ก่อสร้างระบบประปาหมู่บ้านขนาดใหญ่ หมู่ที่ 5 ตำบลสายทอง อำเภอป่าโมก 
จังหวัดอ่างทอง </t>
  </si>
  <si>
    <t xml:space="preserve">ปรับปรุงถนน หมู่ที่ 1 ทางเข้าวัดทุ่ง เชื่อมต่อ ทล.309 โดยปูยางแอสฟัลท์ติกคอนกรีต ตำบลบางเสด็จ อำเภอป่าโมก จังหวัดอ่างทอง </t>
  </si>
  <si>
    <t xml:space="preserve">ก่อสร้างถนนคอนกรีตเสริมเหล็กถนนเลียบคลองโพธิ์ด้านทิศตะวันตก หมู่ที่ 2 
ตำบลเอกราช  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</si>
  <si>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 
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</si>
  <si>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  อท.ถ. 01-023  
บ้านเพชร - บ้านพวงทอง อำเภอแสวงหา จังหวัดอ่างทอง 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</si>
  <si>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</t>
  </si>
  <si>
    <t>ซ่อมสร้างถนนคอนกรีตเสริมเหล็ก สายสุดเขตหมู่ที่ 2 ตำบลราษฎรพัฒนา 
อำเภอสามโก้ เชื่อมเขตติดต่อ ตำบลยี่ล้น อำเภอวิเศษชัยชาญ 
จังหวัดอ่างทอง</t>
  </si>
  <si>
    <t xml:space="preserve">ก่อสร้างถนนคอนกรีตเสริมเหล็ก หมู่ 11 ตำบลม่วงเตี้ย อำเภอวิเศษชัยชาญ 
เชื่อมต่อ หมู่ 1 ตำบลยางช้าย อำเภอโพธิ์ทอง จังหวัดอ่างทอง </t>
  </si>
  <si>
    <t xml:space="preserve">"จังหวัดอ่างทอง" </t>
  </si>
  <si>
    <t>ที่</t>
  </si>
  <si>
    <t>โครงการ/กิจกรรม</t>
  </si>
  <si>
    <t>หน่วยงาน
ดำเนินการ</t>
  </si>
  <si>
    <t>รวม 2 ประเด็นยุทธศาสตร์</t>
  </si>
  <si>
    <t>กิจกรรมหลัก พัฒนาฟื้นฟูแหล่งท่องเที่ยว</t>
  </si>
  <si>
    <t>สนง.โยธาธิการและ
ผังเมืองจังหวัดอ่างทอง</t>
  </si>
  <si>
    <t xml:space="preserve">โครงการเพิ่มศักยภาพการบริหารจัดการทรัพยากรน้ำแบบบูรณาการ 
กลุ่มจังหวัดภาคกลางตอนบน </t>
  </si>
  <si>
    <t xml:space="preserve">ก่อสร้างกำแพงดินรอบพิพิธภัณฑ์บ้านเรือนไทย ตำบลไผ่ดำพัฒนา อำเภอวิเศษชัยชาญ จังหวัดอ่างทอง </t>
  </si>
  <si>
    <t>ประเด็นยุทธศาสตร์ที่ 3 บริหารทรัพยากรน้ำและรักษามลภาวะสิ่งแวดล้อมที่มีคุณภาพ รวมทั้งสร้างมูลค่าเพิ่มจากผักตบชวาวัชพืช 
โดยใช้นวัตกรรม</t>
  </si>
  <si>
    <t>กิจกรรมหลัก ก่อสร้าง/ปรับปรุงระบบป้องกันน้ำท่วมพื้นที่ชุมชน/
เขื่อนป้องกันตลิ่ง</t>
  </si>
  <si>
    <t xml:space="preserve"> ก่อสร้างระบบป้องกันน้ำท่วมพื้นที่ชุมชนบริเวณริมคลองลำท่าแดง
ถึงถนนเทศบาล 16 อำเภอเมืองอ่างทอง จังหวัดอ่างทอง </t>
  </si>
  <si>
    <t xml:space="preserve">ก่อสร้างอาคารป้องกันตลิ่ง หน้าวัดวังน้ำเย็น ตำบลวังน้ำเย็น 
อำเภอแสวงหา จังหวัดอ่างทอง </t>
  </si>
  <si>
    <t>โครงการพัฒนาปรับปรุงสิ่งอำนวยความสะดวกความปลอดภัยและ
ฟื้นฟูแหล่งท่องเที่ยวประวัติศาสตร์ วัฒนธรรม และท่องเที่ยววิถีชุมชน
ลุ่มแม่น้ำเจ้าพระยาป่าสัก</t>
  </si>
  <si>
    <t>งบประมาณรวม
(บาท)</t>
  </si>
  <si>
    <t>งบลงทุน
(บาท)</t>
  </si>
  <si>
    <t>งบดำเนินงาน
(บาท)</t>
  </si>
  <si>
    <t>โครงการพัฒนากลุ่มจังหวัดภาคกลางตอนบน  ประจำปีงบประมาณ พ.ศ. 2562</t>
  </si>
  <si>
    <t>อ.โพธิ์ทอง</t>
  </si>
  <si>
    <t xml:space="preserve">อ.เมืองอ่างทอง </t>
  </si>
  <si>
    <t>อ.สามโก้</t>
  </si>
  <si>
    <t xml:space="preserve">อ.ป่าโมก </t>
  </si>
  <si>
    <t>อ.แสวงหา</t>
  </si>
  <si>
    <t>ซ่อมแซมถนนคอนกรีตเสริมเหล็กปูทับด้วยแอสฟัลท์ติกคอนกรีต 
สายเลียบคลองบางปลากด หมู่ 4 ถึงหมู่ที่ 5  ตำบลเอกราช 
อำเภอป่าโมก จังหวัดอ่างทอง</t>
  </si>
  <si>
    <t>อ.ป่าโมก</t>
  </si>
  <si>
    <t xml:space="preserve">อ.วิเศษชัยชาญ </t>
  </si>
  <si>
    <t>ก่อสร้างระบบประปาหมู่บ้านแบบบาดาลขนาดใหญ่ หมู่ 6 ตำบลเทวราช 
อำเภอไชโย จังหวัดอ่างทอง</t>
  </si>
  <si>
    <t>สนับสนุนการดำเนินงาน ร.ร.เกษตรกรไม้ผล และ ร.ร.พืชผัก เพื่อให้เกษตรกร
ผลิตไม้ผลอย่างปลอดภัย</t>
  </si>
  <si>
    <t>การพัฒนาศักยภาพและเพิ่มขีดความสามารถให้แก่เกษตรกร/ผู้ประกอบการ
ผลิตภัณฑ์สินค้าปลอดภัย</t>
  </si>
  <si>
    <r>
      <rPr>
        <sz val="16"/>
        <color rgb="FF002060"/>
        <rFont val="TH SarabunPSK"/>
        <family val="2"/>
      </rPr>
      <t>ป้องกันและแก้ไขปัญหาอุทกภัย โดยการจัดหาพร้อมติดตั้งเครื่องสูบน้ำ
แบบ Vertical turbine pump</t>
    </r>
    <r>
      <rPr>
        <sz val="16"/>
        <color theme="1"/>
        <rFont val="TH SarabunPSK"/>
        <family val="2"/>
      </rPr>
      <t xml:space="preserve">
</t>
    </r>
  </si>
  <si>
    <t>ส่งเสริมและพัฒนาพื้นที่แก้มลิงหนองเจ็ดเส้น อันเนื่องมาจากพระราชดำริ
ตำบลหัวไผ่ อำเภอเมืองอ่างทอง ตำบลสายทอง อำเภอป่าโมก จังหวัดอ่างทอง</t>
  </si>
  <si>
    <t xml:space="preserve"> (4) เครื่องตัดหญ้าข้อแข็ง 4 จังหวะ </t>
  </si>
  <si>
    <t>สนง.เกษตรและสหกรณ์
จังหวัดอ่างทอง</t>
  </si>
  <si>
    <t>แหล่งงบประมาณ</t>
  </si>
  <si>
    <t>งบประมาณรวม</t>
  </si>
  <si>
    <t>งบพัฒนาจังหวัด</t>
  </si>
  <si>
    <t>งบพัฒนากลุ่มจังหวัด</t>
  </si>
  <si>
    <t>รวมทั้งสิ้น</t>
  </si>
  <si>
    <t>โครงการตามแผนปฏิบัติราชการประจำปีงบประมาณ พ.ศ. 2562</t>
  </si>
  <si>
    <t>ประเด็นยุทธศาสตร์ที่ 2 ฟื้นฟูและยกระดับแหล่งท่องเที่ยว 
กิจกรรม ท่องเที่ยวผลิตภัณฑ์ชุมชนและปรับปรุงสิ่งอำนวยความสะดวกความปลอดภัยให้ได้มาตรฐานสากลเพื่อสร้างความประทับใจ
แก่นักท่องเที่ยว</t>
  </si>
  <si>
    <t>โครงการปรับแผนการปฏิบัติงานและแผนการใช้จ่ายงบประมาณ</t>
  </si>
  <si>
    <t>วงเงินในสัญญาจ้าง</t>
  </si>
  <si>
    <t>สถานะโครงการ</t>
  </si>
  <si>
    <t>สัญญา เริ่มต้น-สิ้นสุด</t>
  </si>
  <si>
    <t>ผู้รับจ้าง</t>
  </si>
  <si>
    <t>ผลการดำเนินงาน</t>
  </si>
  <si>
    <t>เหลือจ่ายจากการก่อหนี้ผูกพัน</t>
  </si>
  <si>
    <t>เบิกจ่าย
(บาท)</t>
  </si>
  <si>
    <t>คงเหลือ
(บาท)</t>
  </si>
  <si>
    <t>ร้อยละ</t>
  </si>
  <si>
    <t>ผลการเบิกจ่าย</t>
  </si>
  <si>
    <t>เงินเหลือจ่าย</t>
  </si>
  <si>
    <t>แผนการใช้จ่ายงบประมาณ รายการค่าใช้จ่ายในการบริหาร</t>
  </si>
  <si>
    <t>จังหวัดแบบบูรณาการ ประจำปีงบประมาณ พ.ศ. 2562 (งบ 8 ล้านบาท)</t>
  </si>
  <si>
    <t>งบประจำปีงบประมาณ</t>
  </si>
  <si>
    <t>(1) ดำเนินการทบทวนแผนพัฒนาจังหวัดอ่างทอง (5 ปี) 
พ.ศ. 2561 - 2565 (ฉบับทบทวน)</t>
  </si>
  <si>
    <t>(2) ดำเนินการจัดทำแผนปฏิบัติราชการประจำปีของจังหวัดอ่างทอง</t>
  </si>
  <si>
    <t>(3) ค่าวัสดุสำนักงาน ค่าวิทยากร ค่าอาหารจัดประชุม ค่าจ้างเหมาจัดทำ
เอกสาร และงานอำนวยการแผนพัฒนาจังหวัด</t>
  </si>
  <si>
    <t>(4) ค่าเดินทางไปราชการ</t>
  </si>
  <si>
    <t>2.1 กิจกรรมอำนวยการประชุมคณะกรรมการบริหารงานจังหวัด
แบบบูรณาการ(ก.บ.จ.)คณะกรรมการบริหารงานกลุ่มจังหวัดแบบบูรณาการ(ก.บ.ก.) และคณะกรรมการร่วมภาครัฐและเอกชนเพื่อแก้ไขปัญหาเศรษฐกิจ
ของจังหวัด (กรอ.จังหวัด)ประจำปีงบประมาณ พ.ศ. 2562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</si>
  <si>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</si>
  <si>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</si>
  <si>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</si>
  <si>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3. การศึกษาเพื่อพัฒนาจังหวัดตามประเด็นการพัฒนาของจังหวัดและกลุ่มจังหวัด</t>
  </si>
  <si>
    <t xml:space="preserve">3.1 กิจกรรมดำเนินการขับเคลื่อนยุทธศาสตร์การพัฒนาจังหวัดอ่างทอง </t>
  </si>
  <si>
    <t>4. การพัฒนาประสิทธิภาพในการบริหารจัดการ</t>
  </si>
  <si>
    <t>4.1 กิจกรรมเสริมสร้างการบริหารจัดการภาครัฐ</t>
  </si>
  <si>
    <t xml:space="preserve">(1) การดำเนินการเสริมสร้างความรู้ ความเข้าใจเรื่องการจัดทำแผนพัฒนาจังหวัดและระบบฐานข้อมูลในการจัดทำยุทธศาสตร์การพัฒนาจังหวัดสู่ระบบราชการ 4.0 </t>
  </si>
  <si>
    <t>(2) ดำเนินงานตามตัวชี้วัดและการพัฒนาคุณภาพการบริหารจัดการภาครัฐ</t>
  </si>
  <si>
    <t>4.2 กิจกรรมอำนวยการบริหารงานจังหวัดแบบบูรณาการจังหวัดอ่างทองประจำปีงบประมาณ พ.ศ. ๒๕62</t>
  </si>
  <si>
    <t>(1) ค่าใช้จ่ายในการจัดงานรัฐพิธี</t>
  </si>
  <si>
    <t>(2) ค่าน้ำมันเชื้อเพลิง</t>
  </si>
  <si>
    <t>ผวจ. 12*20,000 บาท รอง ผวจ. 2*12*13,000 บาท
สนจ. 12*24,000 บาท</t>
  </si>
  <si>
    <t>(3) ค่าวัสดุสำนักงาน 12*23,000 บาท</t>
  </si>
  <si>
    <t>(5) ค่าซ่อมแซมครุภัณฑ์สำนักงาน</t>
  </si>
  <si>
    <t>(6) ค่าซ่อมแซมรถยนต์</t>
  </si>
  <si>
    <t>(7) ค่าอาหาร อาหารว่าง จัดประชุมค่าจ้างเหมาจัดทำเอกสาร 
และงานอำนวยการบูรณาการทั่วไปของจังหวัด</t>
  </si>
  <si>
    <t>(7) ค่าเช่าเครื่องถ่ายเอกสาร 1 เครื่องๆ ละ ๑๒ เดือน ๆ ละ 13,๐๐๐บาท</t>
  </si>
  <si>
    <t>(3) วุฒิปริญาตรีช่วยงานระบบเอกสารอิเลคทรอนิกส์และบริหารงานทั่วไป(ประสบการณ์มากกว่า 2ปี) 1 คนๆ ละ 12 เดือนๆ ละ 15,000 บาท</t>
  </si>
  <si>
    <t>4.4 กิจกรรมพัฒนาระบบข้อมูลสารสนเทศและ
การสื่อสารเพื่อการบริหารจัดการยุทธศาสตร์
การพัฒนาจังหวัด</t>
  </si>
  <si>
    <t>(1) การประชุมคณะกรรมการและการพัฒนาระบบสารสนเทศและการสื่อสารของจังหวัด</t>
  </si>
  <si>
    <t>(2) พัฒนาระบบสารสนเทศและการสื่อสารของจังหวัด</t>
  </si>
  <si>
    <t>4.5 กิจกรรมของส่วนราชการที่ได้รับอนุมัติจากผู้ว่าราชการจังหวัดอ่างทอง</t>
  </si>
  <si>
    <t>5.1 กิจกรรมของส่วนราชการที่ได้รับอนุมัติจากผู้ว่าราชการจังหวัด</t>
  </si>
  <si>
    <t>6.การติดตามประเมินผล</t>
  </si>
  <si>
    <t>6.1 กิจกรรมค่าใช้จ่ายในการติดตามประเมินผล
การดำเนินงานตามแผนพัฒนาจังหวัดอ่างทอง</t>
  </si>
  <si>
    <t>(1) ค่าน้ำมันเชื้อเพลิง ผวจ. 12*10,000 บาท
รอง ผวจ. 2*12*8,000 บาท สนจ. 12*8,000 บาท</t>
  </si>
  <si>
    <t>(2) ค่าวัสดุสำนักงาน 12*23,000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</si>
  <si>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</si>
  <si>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</si>
  <si>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</si>
  <si>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</si>
  <si>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(7) ค่าเช่าเครื่องถ่ายเอกสาร 1เครื่องๆ ละ ๑๒เดือน ๆ ละ ๑3,๐๐๐ บาท</t>
  </si>
  <si>
    <t>งบประมาณ</t>
  </si>
  <si>
    <t>4.3 กิจกรรมจัดหาบุคลากรเพื่อสนับสนุนการบริหารจัดการตามยุทธศาสตร์การพัฒนาจังหวัดอ่างทองประจำปีงบประมาณ พ.ศ. 2562 (9 คน)</t>
  </si>
  <si>
    <t>(1) วุฒิปริญาตรีช่วยงานการเงินงบประจำ (เริ่มงานปีแรก) 
 1 คนๆ ละ 12 เดือนๆ ละ 13,000 บาท</t>
  </si>
  <si>
    <t>(2) วุฒิปริญาตรีช่วยงานการเงินงบจังหวัดกลุ่มจังหวัด (ประสบการณ์มากกว่า 1 ปี) 1 คนๆ ละ 12 เดือนๆ ละ 14,000 บาท</t>
  </si>
  <si>
    <t>(4) วุฒิปริญาตรีช่วยงานยุทธศาสตร์
(ประสบการณ์มากกว่า 2 ปี) 2 คนๆ ละ 12 เดือนๆ ละ 15,000 บาท</t>
  </si>
  <si>
    <t xml:space="preserve">(5) วุฒิ ปวส.ช่วยงานธุรการทั่วไป 2 
 - ประสบการณ์มากกว่า 2 ปี 1 คนๆ ละ 12 เดือนๆ ละ 11,790 บาท เป็นเงิน 141,480 บาท
 - เริ่มงานปีแรก 1 คน 12 เดือนๆ ละ 11,150 บาท
เป็นเงิน 133,800 บาท </t>
  </si>
  <si>
    <t>(6) วุฒิปวส. ขับรถยนต์ 2 คนๆ ละ 12 เดือนๆ ละ 12,000 บาท</t>
  </si>
  <si>
    <t>5.การเผยแพร่ประชาสัมพันธ์เพื่อให้เกิดความรู้ความเข้าใจแก่ภาคส่วนต่างๆ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</si>
  <si>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งบประมาณที่ได้รับจัดสรร (บาท)</t>
  </si>
  <si>
    <t>1. การสำรวจความคิดเห็นของประชาชน ตามมาตรา 18 แห่งพระราชกฤษฎีกาว่าด้วยการบริหารงานจังหวัดและกลุ่มจังหวัดแบบบูรณาการ พ.ศ. 2551 และการจัดประชุมหารือเพื่อจัดทำแผนการพัฒนาจังหวัดและกลุ่มจังหวัดกับภาคส่วนต่างๆ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 2534 
และที่แก้ไขเพิ่มเติม</t>
  </si>
  <si>
    <t>1.1 กิจกรรมบริหารจัดการแผนพัฒนาจังหวัดอ่างทอง ประจำปีงบประมาณ พ.ศ. 2562</t>
  </si>
  <si>
    <t>หน่วยงานที่รับผิดชอบ</t>
  </si>
  <si>
    <t>เหลือจ่าย
(บาท)</t>
  </si>
  <si>
    <t>สนง.วัฒนธรรมจังหวัด</t>
  </si>
  <si>
    <t xml:space="preserve"> (1) ปรับปรุงอาคารเฉลิมพระเกียรติ 74 พรรษา สมเด็จพระนางเจ้าสิริกิติ์พระบรมราชินีนาถ หมู่ที่ 8 (หนองคลองหนองล้น)  ตำบลโพสะ อำเภอเมืองอ่างทอง จังหวัดอ่างทอง</t>
  </si>
  <si>
    <t xml:space="preserve"> 1 โครงการค่ายเยาวชน" สานใจไทย สู่ใจใต้ " รุ่นที่ 34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</si>
  <si>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</si>
  <si>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</si>
  <si>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</si>
  <si>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</si>
  <si>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</si>
  <si>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สำนักงานจังหวัดอ่างทอง</t>
  </si>
  <si>
    <t>โครงการบริหารงานกลุ่มจังหวัดแบบบูรณาการ กลุ่มจังหวัดภาคกลางตอนบน (ชัยนาท พระนครศรีอยุธยา ลพบุรี สระบุรี สิงห์บุรี และอ่างทอง) ประจำปีงบประมาณ พ.ศ. 2562</t>
  </si>
  <si>
    <t>บัญชีสรุปผลการเบิกจ่ายงบประมาณโครงการบริหารงานกลุ่มจังหวัดแบบบูรณาการ กลุ่มจังหวัดภาคกลางตอนบน
(ชัยนาท พระนครศรีอยุธยา ลพบุรี สระบุรี สิงห์บุรี และอ่างทอง)
ประจำปีงบประมาณ พ.ศ. 2562 ในส่วนจังหวัดอ่างทอง</t>
  </si>
  <si>
    <t xml:space="preserve">                                                                                                                                               </t>
  </si>
  <si>
    <t>ห้างหุ้นส่วนจำกัด
ศรณรงค์ก่อสร้าง</t>
  </si>
  <si>
    <t>เริ่มต้น 1 พ.ย. 61
สิ้นสุด 29 ม.ค. 62</t>
  </si>
  <si>
    <t>เริ่มต้น 19 ต.ค. 61
สิ้นสุด 17 ธ.ค. 61</t>
  </si>
  <si>
    <t xml:space="preserve">บริษัท พรีเมียร์ 
ไลท์ติ้ง จำกัด
</t>
  </si>
  <si>
    <t>เริ่มต้น 18 ต.ค. 61
สิ้นสุด 16 ธ.ค. 62</t>
  </si>
  <si>
    <t xml:space="preserve">อารีย์ก่อสร้าง
</t>
  </si>
  <si>
    <t xml:space="preserve">ร้านขวัญใจใยบัว
</t>
  </si>
  <si>
    <t>สนง.โยธาธิการและ
ผังเมืองจังหวัด</t>
  </si>
  <si>
    <t xml:space="preserve">ก่อสร้างถนนคอนกรีตเสริมเหล็ก หมู่ที่ 11 ตำบลรำมะสัก อำเภอโพธิ์ทอง 
เชื่อมต่อหมู่ที่ 8 ตำบลวังน้ำเย็น และหมู่ที่ 9 ตำบลสีบัวทอง อำเภอแสวงหา จังหวัดอ่างทอง </t>
  </si>
  <si>
    <t>นางทิพวรรณ 
พุ่มพันธุ์วงษ์</t>
  </si>
  <si>
    <t>2 โครงการเสริมสร้างความเข้มแข็งและเพิ่มประสิทธิภาพด้านการคลัง สำหรับหน่วยงานของรัฐ ในจังหวัดอ่างทอง ประจำปีงบประมาณ พ.ศ. 2562</t>
  </si>
  <si>
    <t>3 โครงการพัฒนาขีดสมรรถนะของผู้บริหารและข้าราชการในจังหวัดอ่างทอง เพื่อเพิ่มประสิทธิภาพการปฏิบัติงานให้รองรับยุทธศาสตร์ชาติ 20 ปี และระบบราชการ 4.0</t>
  </si>
  <si>
    <t>สนง.คลัง</t>
  </si>
  <si>
    <t>หจก.วีเอส 
แมชชิ่ง</t>
  </si>
  <si>
    <t>เริ่ม 30 พ.ย.61 ถึง 
28 ม.ค.62</t>
  </si>
  <si>
    <t>หจก. MRD วิศวกรรม</t>
  </si>
  <si>
    <t xml:space="preserve">ก่อสร้างระบบกระจายน้ำชนิดคูส่งน้ำดาดคอนกรีต เพื่อช่วยเหลือพื้นที่
เกษตรกรรม หมู่ที่ 1 ตำบลรำมะสัก อำเภอโพธิ์ทอง จังหวัดอ่างทอง </t>
  </si>
  <si>
    <t>เริ่ม 1 ธ.ค.61 
ถึง 26 ก.ย.62</t>
  </si>
  <si>
    <t>หจก.
ประสิทธิรุ่งเรือง</t>
  </si>
  <si>
    <t>เริ่ม 28 พ.ย.61 
ถึง 27 เม.ย.62</t>
  </si>
  <si>
    <t>หจก. 
ซุ้มบ้านใหญ่</t>
  </si>
  <si>
    <t xml:space="preserve">งานรำลึกวีรชนแขวงเมืองวิเศษชัยชาญ </t>
  </si>
  <si>
    <t>4 โครงการ "หน่วยบำบัดทุกข์ บำรุงสุข สร้างรอยยิ้มให้ประชาชน"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2562</t>
  </si>
  <si>
    <t>2. การจัดประชุม ก.บ.จ. หรือ กรอ.จังหวัด</t>
  </si>
  <si>
    <t>บ ดี เอ็ม ดี เอ็นจิเนียริ่ง</t>
  </si>
  <si>
    <t>เริ่มต้น 19 ต.ค. 61 
สิ้นสุด 3 ธ.ค. 62</t>
  </si>
  <si>
    <t>เริ่มต้น 10 พ.ย. 61
สิ้นสุด 7 ม.ค. 62</t>
  </si>
  <si>
    <t>เริ่มต้น 18 ต.ค. 61
สิ้นสุด 16 เม.ย. 62</t>
  </si>
  <si>
    <t>เริ่ม 21 พ.ย.61 
ถึง 25 เม.ย.62</t>
  </si>
  <si>
    <t>เริ่ม 24 พ.ย.61 
ถึง 26 เม.ย.62</t>
  </si>
  <si>
    <t>บ.เจ เอ็น ซี 
แมชชีนเนอรี่ จำกัด</t>
  </si>
  <si>
    <t>เริ่ม1 พ.ย.61 
ถึง 1 ธ.ค.61</t>
  </si>
  <si>
    <t>เริ่ม 15 พ.ย. 61
ถึง 12 ก.พ. 62</t>
  </si>
  <si>
    <t>5 โครงการสำรวจข้อมูลครัวเรือนและหมู่บ้าน/ชุมชน จังหวัดอ่างทอง ประจำปีงบประมาณ พ.ศ. 2562</t>
  </si>
  <si>
    <t>ที่ทำการปกครองจังหวัดอ่างทอง</t>
  </si>
  <si>
    <t>ข้อมูล ณ วันที่ 28 มกราคม 2562</t>
  </si>
  <si>
    <t>ขุดลอกบึงอ้อ พร้อมเสริมคันดิน ตำบลบ้านอิฐ อำเภอเมือง จังหวัดอ่างทอง</t>
  </si>
  <si>
    <t>ขุดลอกหนองขโมย (ฝั่งตะวันออก) พร้อมเสริมคันดิน ตำบลโรงช้าง อำเภอป่าโมก จังหวัดอ่างทอง</t>
  </si>
  <si>
    <t>เริ่ม 16 ม.ค. 62
ถึง 15 เม.ย. 62</t>
  </si>
  <si>
    <t>เริ่ม 7 พ.ย. 61 
สิ้นสุด 6 มี.ค. 62</t>
  </si>
  <si>
    <t>เริ่ม 5 ม.ค. 62
ถึง 3 มิ.ย. 62</t>
  </si>
  <si>
    <t>เริ่ม 25 ม.ค. 62
ถึง 24 พ.ค. 62</t>
  </si>
  <si>
    <t>เริ่ม 25 ม.ค. 62
ถึง 10 มี.ค. 62</t>
  </si>
  <si>
    <t>เริ่ม 16 ม.ค. 62
ถึง 16 มี.ค. 62</t>
  </si>
  <si>
    <t>หจก. อ่างทองพัฒนา</t>
  </si>
  <si>
    <t>เริ่ม 15 ม.ค. 62
ถึง 14 มิ.ย. 62</t>
  </si>
  <si>
    <t>เริ่ม 11 ม.ค. 62
ถึง 11 เม.ย. 62</t>
  </si>
  <si>
    <t>เริ่ม 8 ม.ค. 62
ถึง 9 มี.ค. 62</t>
  </si>
  <si>
    <t>เริ่ม 7 ม.ค. 62
ถึง 7 มี.ค. 62</t>
  </si>
  <si>
    <t>เริ่ม 7 ม.ค. 62
ถึง 8 มี.ค. 62</t>
  </si>
  <si>
    <t>เริ่ม 8 ก.พ. 62
ถึง 24 มี.ค. 62</t>
  </si>
  <si>
    <t>หจก. ประสิทธิ์</t>
  </si>
  <si>
    <t>โครงการเงินเหลือจ่าย</t>
  </si>
  <si>
    <t>เริ่ม 12 ม.ค. 62
ถึง 12 มี.ค. 62</t>
  </si>
  <si>
    <t>เริ่ม 30 ม.ค. 62
ถึง 29 พ.ค. 62</t>
  </si>
  <si>
    <t>หจก. วี.เอส.แม็ชชิ่ง</t>
  </si>
  <si>
    <t>อยู่ระหว่างดำเนินการ
(ดำเนินการเอง)</t>
  </si>
  <si>
    <t>22-24 พ.ย. 61</t>
  </si>
  <si>
    <t>จัดแล้ว 1 ครั้ง</t>
  </si>
  <si>
    <t>18-19 ม.ค. 62</t>
  </si>
  <si>
    <t>13-15 ก.พ. 62</t>
  </si>
  <si>
    <t>25 ม.ค.-3 ก.พ. 62</t>
  </si>
  <si>
    <t>1-14 ก.พ. 62</t>
  </si>
  <si>
    <t>28 ก.พ.-4 มี.ค. 62</t>
  </si>
  <si>
    <t>23-26 มี.ค. 62</t>
  </si>
  <si>
    <t>18-22 เม.ย. 62</t>
  </si>
  <si>
    <t>7-9 มี.ค. 62</t>
  </si>
  <si>
    <t>วันมาฆบูชา/
วันวิสาขบูชา/
วันอาสาฬหบูชา</t>
  </si>
  <si>
    <t>21-24 มิ.ย. 62</t>
  </si>
  <si>
    <t>ส.ค. 62</t>
  </si>
  <si>
    <t>23-26 ส.ค. 62</t>
  </si>
  <si>
    <t>วงเงิน
ในสัญญาจ้าง</t>
  </si>
  <si>
    <t>เหลือจ่าย
จากการ
ก่อหนี้ผูกพัน</t>
  </si>
  <si>
    <t>หน่วย
ดำเนินการ</t>
  </si>
  <si>
    <t xml:space="preserve">ก่อสร้างสะพานคอนกรีตเสริมเหล็ก หมู่ที่ 2 ตำบลตลาดกรวด 
อำเภอเมืองอ่างทอง จังหวัดอ่างทอง </t>
  </si>
  <si>
    <t xml:space="preserve">ก่อสร้างถนนคอนกรีตเสริมเหล็กพร้อมขยายเขตไฟฟ้าสาธารณะ
และไฟส่องสว่าง บริเวณอาคารพิพิธภัณฑ์เรือนไทย หมู่ที่ 6 
ตำบลไผ่ดำพัฒนา อำเภอวิเศษชัยชาญ จังหวัดอ่างทอง </t>
  </si>
  <si>
    <t>ห้างหุ้นส่วนจำกัด 
บางจักการโยธา</t>
  </si>
  <si>
    <t>สัญญา 
เริ่มต้น-สิ้นสุด</t>
  </si>
  <si>
    <t xml:space="preserve"> - อำเภอสามโก้ 
ดำเนินการแล้วเสร็จ
- อำเภอป่าโมก
จัดงาน เม.ย. 62</t>
  </si>
  <si>
    <t>เริ่ม 27 พ.ย.61 
ถึง 25 ม.ค.61</t>
  </si>
  <si>
    <t>บ. เพ็ชรอินทร์
ก่อสร้างจำกัด</t>
  </si>
  <si>
    <t>บ ดี เอ็ม ดี 
เอ็นจิเนียริ่ง</t>
  </si>
  <si>
    <t>ขุดลอกคลองบ้านลาดตาล ตำบลสาวรองไห้ อำเภอวิเศษชัยชาญ 
จังหวัดอ่างทอง</t>
  </si>
  <si>
    <t xml:space="preserve">ก่อสร้างระบบกระจายน้ำชนิดคูส่งน้ำดาดคอนกรีตเพื่อช่วยเหลือพื้นที่เกษตรกรรม หมู่ที่ 2 ตำบลรำมะสัก อำเภอโพธิ์ทอง จังหวัดอ่างทอง </t>
  </si>
  <si>
    <t>สนง.สสจ.อท.</t>
  </si>
  <si>
    <t>ตำรวจภูธรจังหวัด</t>
  </si>
  <si>
    <t>สนง.คุมประพฤติ
จังหวัด</t>
  </si>
  <si>
    <t>สนง.สวัสดิการและคุ้มครองแรงงาน
จังหวัด</t>
  </si>
  <si>
    <t>สนง.พัฒนาชุมชน
จังหวัด</t>
  </si>
  <si>
    <t>แขวงทางหลวง
อ่างทอง</t>
  </si>
  <si>
    <t xml:space="preserve">ส่งเสริมและพัฒนาฟาร์มตัวอย่างตามพระราชดำริใน
สมเด็จพระนางเจ้าสิริกิติ์พระบรมราชินีนาถ หนองระหารจีน 
ตำบลบ้านอิฐ อำเภอเมืองอ่างทอง จังหวัดอ่างทอง </t>
  </si>
  <si>
    <t>ส่งเสริมและพัฒนาฟาร์มตัวอย่างตามพระราชดำริ
ในสมเด็จพระนางเจ้าสิริกิติ์พระบรมราชินีนาถ ตำบลสีบัวทอง 
อำเภอแสวงหา จังหวัดอ่างทอง</t>
  </si>
  <si>
    <t>ปรับปรุงเขื่อนป้องกันตลิ่งริมแม่น้ำเจ้าพระยา บริเวณตั้งแต่ประตูน้ำวัดสนามชัย ถึงคันดินของเทศบาล ตำบลตลาดหลวง อำเภอเมืองอ่างทอง จังหวัดอ่างทอง</t>
  </si>
  <si>
    <t>หจก. สองฝั่ง
การเกษตร</t>
  </si>
  <si>
    <t>หจก.ภัทรากร
รุ่งเรือง</t>
  </si>
  <si>
    <t>หจก.ศรนรงค์ 
ก่อสร้าง</t>
  </si>
  <si>
    <t>เพชรอินทร์
ก่อสร้าง</t>
  </si>
  <si>
    <t>หจก.ดิวันคอน
สตัคชั่นสุพรรณบุรี</t>
  </si>
  <si>
    <t>หจก. อ่างทอง
พัฒนา</t>
  </si>
  <si>
    <t xml:space="preserve">ห้างหุ้นส่วน
จำกัด 
อุดรเพทาย
</t>
  </si>
  <si>
    <t>หจก.MRD 
วิศวกรรม</t>
  </si>
  <si>
    <t>สองฝั่ง
การเกษตร</t>
  </si>
  <si>
    <t>บ. พีเอ็น 
โพรมิเน้นท์ 
จำกัด</t>
  </si>
  <si>
    <t xml:space="preserve">ศศินิภา 
เขียวชอุ่ม
</t>
  </si>
  <si>
    <t>ได้รับอนุมัติ (บาท)</t>
  </si>
  <si>
    <t>ได้รับจัดสรร</t>
  </si>
  <si>
    <t>เหลือจากการอนุมัติโครงการ/ปรับลดเนื้องาน</t>
  </si>
  <si>
    <t>ก่อสร้างระบบประปาหมู่บ้านแบบบาดาลขนาดใหญ่ หมู่ 6 ตำบลเทวราช อำเภอไชโย จังหวัดอ่างทอง</t>
  </si>
  <si>
    <t xml:space="preserve">ปรับปรุงถนน คสล. โดยลาดยางแอสฟัลท์ติก หมู่ที่ 5 บริเวณถนนไปทางศาลเจ้าแม่สายบัว ตำบลโรงช้าง อำเภอป่าโมก จังหวัดอ่างทอง </t>
  </si>
  <si>
    <t>ก่อสร้างท่อระบายน้ำพร้อมคันหินทางเท้า จากแยกถนนเทศบาล 6 ถึงถนนเทศบาล 1 ตำบลตลาดหลวง อำเภอเมืองอ่างทอง จังหวัดอ่างทอง</t>
  </si>
  <si>
    <t xml:space="preserve">ปรับปรุงถนนคอนกรีตเสริมเหล็ก โดยเสริมผิวแอสฟัลท์ติก ถนนเส้นวัดเชิงหวาย- แยกหนองเจ็ดเส้น ตำบลหัวไผ่ อำเภอเมืองอ่างทอง จังหวัดอ่างทอง </t>
  </si>
  <si>
    <t xml:space="preserve">ก่อสร้างถนนคอนกรีตเสริมเหล็ก หมู่ 11 ตำบลม่วงเตี้ย อำเภอวิเศษชัยชาญ เชื่อมต่อ หมู่ 1 ตำบลยางช้าย อำเภอโพธิ์ทอง จังหวัดอ่างทอง </t>
  </si>
  <si>
    <t>ก่อสร้างสะพานคอนกรีตเสริมเหล็ก หมู่ที่ 8 ตำบลศาลเจ้าโรงทอง อำเภอวิเศษชัยชาญ จังหวัดอ่างทอง</t>
  </si>
  <si>
    <t xml:space="preserve">ก่อสร้างถนนคอนกรีตเสริมเหล็กถนนเลียบคลองโพธิ์ด้านทิศตะวันตก หมู่ที่ 2 ตำบลเอกราช  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</si>
  <si>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</si>
  <si>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  อท.ถ. 01-023  บ้านเพชร - บ้านพวงทอง อำเภอแสวงหา จังหวัดอ่างทอง </t>
  </si>
  <si>
    <t>ซ่อมแซมถนนคอนกรีตเสริมเหล็กปูทับด้วยแอสฟัลท์ติกคอนกรีต 
สายเลียบคลองบางปลากด หมู่ที่ 5  ตำบลเอกราช อำเภอป่าโมก จังหวัดอ่างทอง</t>
  </si>
  <si>
    <t>ซ่อมสร้างถนนคอนกรีตเสริมเหล็ก สายสุดเขตหมู่ที่ 2 ตำบลราษฎรพัฒนา อำเภอสามโก้ เชื่อมเขตติดต่อ ตำบลยี่ล้น อำเภอวิเศษชัยชาญ จังหวัดอ่างทอง</t>
  </si>
  <si>
    <t>ติดตั้งไฟฟ้าแสงสว่างทางหลวงหมายเลข 309 ตอนควบคุม 0202 (ตอนแยกที่ดิน-ไชโย)</t>
  </si>
  <si>
    <t>ปรับปรุงคันป้องกันน้ำท่วมบริเวณชุมชนบ้านรอ ตำบลบางแก้ว ถึงประตูน้ำคลองบางแก้ว หมู่ที่ 10 ตำบลบ้านอิฐ อำเภอเมืองอ่างทอง จังหวัดอ่างทอง</t>
  </si>
  <si>
    <t xml:space="preserve">ป้องกันและแก้ไขปัญหาอุทกภัย โดยการจัดหาพร้อมติดตั้งเครื่องสูบน้ำแบบ Vertical turbine pump
</t>
  </si>
  <si>
    <t>เงินเหลือจ่ายคงเหลือ (บาท)</t>
  </si>
  <si>
    <t>เริ่ม 25 ก.พ.62
ถึง 25 พ.ค.62</t>
  </si>
  <si>
    <t>เริ่ม 25 ก.พ.62
ถึง 24 มิ.ย.62</t>
  </si>
  <si>
    <t>ขุดลอกหนองคชบาล พร้อมเสริมคันดิน  ต.ชัยฤทธิ์ อ.ไชโย 
จ.อ่างทอง</t>
  </si>
  <si>
    <t>ขุดลอกหนองสามง่ามเหนือ พร้อมเสริมคันดิน ต.ราชสถิตย์ 
อ.ไชโย จ.อ่างทอง</t>
  </si>
  <si>
    <t>ขุดลอกหนองสามง่ามใต้ พร้อมเสริมคันดิน ต.เทวราช
อ.ไชโย จ.อ่างทอง</t>
  </si>
  <si>
    <t>สนับสนุนการดำเนินงาน ร.ร.เกษตรกรไม้ผล และ ร.ร.พืชผัก เพื่อให้เกษตรกรผลิตไม้ผลอย่างปลอดภัย</t>
  </si>
  <si>
    <t>เริ่ม 5 ม.ค. 62
ถึง 2 มิ.ย. 62</t>
  </si>
  <si>
    <t>เริ่ม 14 ม.ค. 62
ถึง 10 พ.ย. 62</t>
  </si>
  <si>
    <t>สนง.ทรัพยากรธรรมชาติและสิ่งแวดล้อมจังหวัดอ่างทอง</t>
  </si>
  <si>
    <t>เริ่ม 1 เม.ย.62
ถึง 29 มิ.ย.62</t>
  </si>
  <si>
    <t>ปรับปรุงซ่อมแซมถนนคอนกรีตเสริมเหล็ก สายบ้านท่าลอบ หมู่ที่ 6 ตำบลรำมะสัก อำเภอโพธิ์ทอง จังหวัดอ่างทอง</t>
  </si>
  <si>
    <t>เริ่ม 4 เม.ย.62
ถึง 30 ต.ค.62</t>
  </si>
  <si>
    <t>หจก.สองฝั่งการเกษตร</t>
  </si>
  <si>
    <t>เริ่ม 30 มี.ค. 62
ถึง 28 พ.ค. 62</t>
  </si>
  <si>
    <t>ภัสสรศิริ</t>
  </si>
  <si>
    <t>เริ่ม 30 มี.ค. 62
ถึง 13 พ.ค. 62</t>
  </si>
  <si>
    <t>หจก.คุณปลื้ม การโยธา</t>
  </si>
  <si>
    <t>เริ่ม 18 เม.ย. 62
ถึง 14 ก.ย. 62</t>
  </si>
  <si>
    <t>เริ่ม 16 มี.ค. 62
ถึง 13 มิ.ย. 62</t>
  </si>
  <si>
    <t>บ.สแตน เอ็น จี เนียริ่ง แอนด์ คอนสตัคชั่น จำกัด</t>
  </si>
  <si>
    <t>ได้ราคากลางแล้ว
อยู่ระหว่างจัดหาผู้รับจ้างด้วยวิธีคัดเลือก</t>
  </si>
  <si>
    <t>อยู่ระหว่างกำหนดราคากลาง</t>
  </si>
  <si>
    <t>บริษัท สุรสีห์ การโยธา จำกัด</t>
  </si>
  <si>
    <t>ข้อมูล ณ วันที่ 24 เมษายน 2562</t>
  </si>
  <si>
    <t>รอผลอุทธรณ์จากกรมบัญชีกลาง</t>
  </si>
  <si>
    <t>ลงนามสัญญาแล้ว</t>
  </si>
  <si>
    <t>5 เม.ย. 62 - 27 ก.ค. 63</t>
  </si>
  <si>
    <t>หจก.TJN Trading</t>
  </si>
  <si>
    <t>ข้อมูล ณ วันที่ 25 เมษายน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</si>
</sst>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66FF"/>
      <name val="TH SarabunPSK"/>
      <family val="2"/>
    </font>
    <font>
      <b/>
      <sz val="16"/>
      <color rgb="FF7030A0"/>
      <name val="TH SarabunPSK"/>
      <family val="2"/>
    </font>
    <font>
      <b/>
      <u val="double"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2060"/>
      <name val="TH SarabunPSK"/>
      <family val="2"/>
    </font>
    <font>
      <sz val="13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2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2060"/>
      <name val="TH SarabunPSK"/>
      <family val="2"/>
    </font>
    <font>
      <sz val="14"/>
      <color rgb="FF002060"/>
      <name val="TH SarabunPSK"/>
      <family val="2"/>
    </font>
    <font>
      <sz val="14"/>
      <color rgb="FF7030A0"/>
      <name val="TH SarabunPSK"/>
      <family val="2"/>
    </font>
    <font>
      <sz val="14"/>
      <color theme="9" tint="-0.249977111117893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ABE9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 style="dotted">
        <color indexed="64"/>
      </top>
      <bottom style="hair">
        <color theme="0"/>
      </bottom>
      <diagonal/>
    </border>
    <border>
      <left/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theme="0"/>
      </left>
      <right/>
      <top style="dotted">
        <color indexed="64"/>
      </top>
      <bottom style="dotted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4">
    <xf numFmtId="0" fontId="0" fillId="0" borderId="0" xfId="0"/>
    <xf numFmtId="0" fontId="2" fillId="0" borderId="0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4" fillId="4" borderId="9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5" fillId="6" borderId="11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1" fontId="2" fillId="8" borderId="11" xfId="0" applyNumberFormat="1" applyFont="1" applyFill="1" applyBorder="1" applyAlignment="1">
      <alignment horizontal="center" vertical="top" wrapText="1"/>
    </xf>
    <xf numFmtId="41" fontId="11" fillId="0" borderId="0" xfId="0" applyNumberFormat="1" applyFont="1" applyBorder="1" applyAlignment="1">
      <alignment wrapText="1"/>
    </xf>
    <xf numFmtId="41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41" fontId="11" fillId="0" borderId="5" xfId="0" applyNumberFormat="1" applyFont="1" applyBorder="1" applyAlignment="1">
      <alignment horizontal="center"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horizontal="center" vertical="center"/>
    </xf>
    <xf numFmtId="41" fontId="14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41" fontId="14" fillId="9" borderId="1" xfId="0" applyNumberFormat="1" applyFont="1" applyFill="1" applyBorder="1" applyAlignment="1">
      <alignment horizontal="center" vertical="top"/>
    </xf>
    <xf numFmtId="0" fontId="18" fillId="9" borderId="1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41" fontId="14" fillId="8" borderId="1" xfId="0" applyNumberFormat="1" applyFont="1" applyFill="1" applyBorder="1" applyAlignment="1">
      <alignment vertical="top"/>
    </xf>
    <xf numFmtId="41" fontId="11" fillId="8" borderId="1" xfId="0" applyNumberFormat="1" applyFont="1" applyFill="1" applyBorder="1" applyAlignment="1">
      <alignment vertical="top"/>
    </xf>
    <xf numFmtId="0" fontId="19" fillId="8" borderId="1" xfId="0" applyNumberFormat="1" applyFont="1" applyFill="1" applyBorder="1" applyAlignment="1">
      <alignment horizontal="left"/>
    </xf>
    <xf numFmtId="0" fontId="19" fillId="8" borderId="2" xfId="0" applyNumberFormat="1" applyFont="1" applyFill="1" applyBorder="1" applyAlignment="1">
      <alignment horizontal="left"/>
    </xf>
    <xf numFmtId="1" fontId="7" fillId="0" borderId="6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41" fontId="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41" fontId="11" fillId="8" borderId="5" xfId="0" applyNumberFormat="1" applyFont="1" applyFill="1" applyBorder="1" applyAlignment="1">
      <alignment vertical="top"/>
    </xf>
    <xf numFmtId="41" fontId="14" fillId="8" borderId="7" xfId="0" applyNumberFormat="1" applyFont="1" applyFill="1" applyBorder="1" applyAlignment="1">
      <alignment vertical="top"/>
    </xf>
    <xf numFmtId="41" fontId="11" fillId="8" borderId="7" xfId="0" applyNumberFormat="1" applyFont="1" applyFill="1" applyBorder="1" applyAlignment="1">
      <alignment vertical="top"/>
    </xf>
    <xf numFmtId="0" fontId="16" fillId="8" borderId="5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1" fontId="12" fillId="0" borderId="22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1" fontId="11" fillId="8" borderId="4" xfId="0" applyNumberFormat="1" applyFont="1" applyFill="1" applyBorder="1" applyAlignment="1">
      <alignment horizontal="center" vertical="top" wrapText="1"/>
    </xf>
    <xf numFmtId="41" fontId="11" fillId="8" borderId="1" xfId="0" applyNumberFormat="1" applyFont="1" applyFill="1" applyBorder="1" applyAlignment="1">
      <alignment horizontal="center" vertical="top" wrapText="1"/>
    </xf>
    <xf numFmtId="41" fontId="14" fillId="8" borderId="1" xfId="0" applyNumberFormat="1" applyFont="1" applyFill="1" applyBorder="1" applyAlignment="1">
      <alignment horizontal="center" vertical="top" wrapText="1"/>
    </xf>
    <xf numFmtId="0" fontId="16" fillId="8" borderId="1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top" wrapText="1"/>
    </xf>
    <xf numFmtId="41" fontId="12" fillId="0" borderId="1" xfId="1" applyNumberFormat="1" applyFont="1" applyBorder="1" applyAlignment="1">
      <alignment horizontal="center" vertical="top" wrapText="1"/>
    </xf>
    <xf numFmtId="41" fontId="7" fillId="0" borderId="1" xfId="1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left" vertical="top" wrapText="1"/>
    </xf>
    <xf numFmtId="1" fontId="12" fillId="0" borderId="6" xfId="0" applyNumberFormat="1" applyFont="1" applyBorder="1" applyAlignment="1">
      <alignment horizontal="center" vertical="top" wrapText="1"/>
    </xf>
    <xf numFmtId="0" fontId="21" fillId="0" borderId="5" xfId="0" applyNumberFormat="1" applyFont="1" applyBorder="1" applyAlignment="1">
      <alignment horizontal="left" vertical="top" wrapText="1"/>
    </xf>
    <xf numFmtId="41" fontId="12" fillId="0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left" vertical="top" wrapText="1"/>
    </xf>
    <xf numFmtId="41" fontId="11" fillId="8" borderId="5" xfId="1" applyNumberFormat="1" applyFont="1" applyFill="1" applyBorder="1" applyAlignment="1">
      <alignment horizontal="center" vertical="top" wrapText="1"/>
    </xf>
    <xf numFmtId="0" fontId="16" fillId="8" borderId="5" xfId="0" applyNumberFormat="1" applyFont="1" applyFill="1" applyBorder="1" applyAlignment="1">
      <alignment horizontal="left" vertical="top" wrapText="1"/>
    </xf>
    <xf numFmtId="41" fontId="7" fillId="0" borderId="1" xfId="1" applyNumberFormat="1" applyFont="1" applyFill="1" applyBorder="1" applyAlignment="1">
      <alignment horizontal="center" vertical="top" wrapText="1"/>
    </xf>
    <xf numFmtId="41" fontId="12" fillId="0" borderId="5" xfId="1" applyNumberFormat="1" applyFont="1" applyBorder="1" applyAlignment="1">
      <alignment horizontal="center" vertical="top" wrapText="1"/>
    </xf>
    <xf numFmtId="41" fontId="7" fillId="0" borderId="5" xfId="1" applyNumberFormat="1" applyFont="1" applyFill="1" applyBorder="1" applyAlignment="1">
      <alignment horizontal="center" vertical="top" wrapText="1"/>
    </xf>
    <xf numFmtId="41" fontId="11" fillId="8" borderId="1" xfId="1" applyNumberFormat="1" applyFont="1" applyFill="1" applyBorder="1" applyAlignment="1">
      <alignment horizontal="center" vertical="top" wrapText="1"/>
    </xf>
    <xf numFmtId="41" fontId="14" fillId="8" borderId="1" xfId="1" applyNumberFormat="1" applyFont="1" applyFill="1" applyBorder="1" applyAlignment="1">
      <alignment horizontal="center" vertical="top" wrapText="1"/>
    </xf>
    <xf numFmtId="0" fontId="19" fillId="8" borderId="1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left" vertical="top" wrapText="1"/>
    </xf>
    <xf numFmtId="41" fontId="14" fillId="7" borderId="1" xfId="0" applyNumberFormat="1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1" fontId="14" fillId="6" borderId="1" xfId="0" applyNumberFormat="1" applyFont="1" applyFill="1" applyBorder="1" applyAlignment="1">
      <alignment horizontal="left" vertical="top" wrapText="1"/>
    </xf>
    <xf numFmtId="0" fontId="20" fillId="6" borderId="1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1" fontId="7" fillId="0" borderId="1" xfId="0" applyNumberFormat="1" applyFont="1" applyBorder="1" applyAlignment="1">
      <alignment horizontal="left" vertical="top" wrapText="1"/>
    </xf>
    <xf numFmtId="41" fontId="7" fillId="0" borderId="18" xfId="0" applyNumberFormat="1" applyFont="1" applyBorder="1" applyAlignment="1">
      <alignment horizontal="left" vertical="top"/>
    </xf>
    <xf numFmtId="0" fontId="20" fillId="0" borderId="18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1" fontId="7" fillId="0" borderId="16" xfId="0" applyNumberFormat="1" applyFont="1" applyBorder="1" applyAlignment="1">
      <alignment horizontal="left" vertical="top"/>
    </xf>
    <xf numFmtId="41" fontId="19" fillId="0" borderId="16" xfId="0" applyNumberFormat="1" applyFont="1" applyBorder="1" applyAlignment="1">
      <alignment horizontal="left" vertical="top" wrapText="1"/>
    </xf>
    <xf numFmtId="0" fontId="20" fillId="0" borderId="16" xfId="0" applyNumberFormat="1" applyFont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left" vertical="top"/>
    </xf>
    <xf numFmtId="41" fontId="19" fillId="0" borderId="5" xfId="0" applyNumberFormat="1" applyFont="1" applyBorder="1" applyAlignment="1">
      <alignment horizontal="left" vertical="top" wrapText="1"/>
    </xf>
    <xf numFmtId="0" fontId="20" fillId="0" borderId="5" xfId="0" applyNumberFormat="1" applyFont="1" applyBorder="1" applyAlignment="1">
      <alignment horizontal="left" vertical="top" wrapText="1"/>
    </xf>
    <xf numFmtId="41" fontId="7" fillId="0" borderId="13" xfId="0" applyNumberFormat="1" applyFont="1" applyBorder="1" applyAlignment="1">
      <alignment horizontal="left" vertical="top"/>
    </xf>
    <xf numFmtId="41" fontId="19" fillId="0" borderId="13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41" fontId="14" fillId="6" borderId="1" xfId="0" applyNumberFormat="1" applyFont="1" applyFill="1" applyBorder="1" applyAlignment="1">
      <alignment horizontal="left" vertical="top"/>
    </xf>
    <xf numFmtId="0" fontId="18" fillId="6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41" fontId="12" fillId="0" borderId="1" xfId="0" applyNumberFormat="1" applyFont="1" applyBorder="1" applyAlignment="1">
      <alignment horizontal="center" vertical="top" wrapText="1"/>
    </xf>
    <xf numFmtId="1" fontId="5" fillId="6" borderId="4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41" fontId="14" fillId="6" borderId="2" xfId="0" applyNumberFormat="1" applyFont="1" applyFill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left" vertical="top" wrapText="1"/>
    </xf>
    <xf numFmtId="41" fontId="14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41" fontId="7" fillId="4" borderId="1" xfId="0" applyNumberFormat="1" applyFont="1" applyFill="1" applyBorder="1" applyAlignment="1">
      <alignment horizontal="left" vertical="top" wrapText="1"/>
    </xf>
    <xf numFmtId="41" fontId="14" fillId="4" borderId="1" xfId="0" applyNumberFormat="1" applyFont="1" applyFill="1" applyBorder="1" applyAlignment="1">
      <alignment wrapText="1"/>
    </xf>
    <xf numFmtId="41" fontId="11" fillId="4" borderId="1" xfId="0" applyNumberFormat="1" applyFont="1" applyFill="1" applyBorder="1" applyAlignment="1">
      <alignment wrapText="1"/>
    </xf>
    <xf numFmtId="0" fontId="16" fillId="4" borderId="1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1" fontId="14" fillId="4" borderId="1" xfId="0" applyNumberFormat="1" applyFont="1" applyFill="1" applyBorder="1" applyAlignment="1">
      <alignment horizontal="center" vertical="top" wrapText="1"/>
    </xf>
    <xf numFmtId="41" fontId="11" fillId="4" borderId="1" xfId="0" applyNumberFormat="1" applyFont="1" applyFill="1" applyBorder="1" applyAlignment="1">
      <alignment horizontal="center" vertical="top" wrapText="1"/>
    </xf>
    <xf numFmtId="0" fontId="19" fillId="4" borderId="2" xfId="0" applyNumberFormat="1" applyFont="1" applyFill="1" applyBorder="1" applyAlignment="1">
      <alignment horizontal="left" vertical="top" wrapText="1"/>
    </xf>
    <xf numFmtId="41" fontId="11" fillId="4" borderId="1" xfId="0" applyNumberFormat="1" applyFont="1" applyFill="1" applyBorder="1" applyAlignment="1">
      <alignment vertical="top" wrapText="1"/>
    </xf>
    <xf numFmtId="41" fontId="14" fillId="4" borderId="1" xfId="0" applyNumberFormat="1" applyFont="1" applyFill="1" applyBorder="1" applyAlignment="1">
      <alignment vertical="top" wrapText="1"/>
    </xf>
    <xf numFmtId="0" fontId="16" fillId="4" borderId="2" xfId="0" applyNumberFormat="1" applyFont="1" applyFill="1" applyBorder="1" applyAlignment="1">
      <alignment horizontal="left" vertical="top" wrapText="1"/>
    </xf>
    <xf numFmtId="41" fontId="12" fillId="0" borderId="5" xfId="1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/>
    </xf>
    <xf numFmtId="41" fontId="11" fillId="3" borderId="1" xfId="0" applyNumberFormat="1" applyFont="1" applyFill="1" applyBorder="1" applyAlignment="1">
      <alignment vertical="top" wrapText="1"/>
    </xf>
    <xf numFmtId="41" fontId="14" fillId="3" borderId="1" xfId="0" applyNumberFormat="1" applyFont="1" applyFill="1" applyBorder="1" applyAlignment="1">
      <alignment vertical="top" wrapText="1"/>
    </xf>
    <xf numFmtId="41" fontId="16" fillId="3" borderId="1" xfId="0" applyNumberFormat="1" applyFont="1" applyFill="1" applyBorder="1" applyAlignment="1">
      <alignment wrapText="1"/>
    </xf>
    <xf numFmtId="41" fontId="7" fillId="0" borderId="0" xfId="0" applyNumberFormat="1" applyFont="1" applyBorder="1" applyAlignment="1">
      <alignment wrapText="1"/>
    </xf>
    <xf numFmtId="41" fontId="19" fillId="0" borderId="0" xfId="0" applyNumberFormat="1" applyFont="1" applyBorder="1" applyAlignment="1">
      <alignment wrapText="1"/>
    </xf>
    <xf numFmtId="41" fontId="14" fillId="9" borderId="1" xfId="0" applyNumberFormat="1" applyFont="1" applyFill="1" applyBorder="1" applyAlignment="1">
      <alignment horizontal="left" vertical="top"/>
    </xf>
    <xf numFmtId="41" fontId="11" fillId="8" borderId="1" xfId="0" applyNumberFormat="1" applyFont="1" applyFill="1" applyBorder="1" applyAlignment="1">
      <alignment horizontal="left" vertical="top"/>
    </xf>
    <xf numFmtId="0" fontId="14" fillId="6" borderId="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41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1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41" fontId="25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41" fontId="26" fillId="0" borderId="0" xfId="0" applyNumberFormat="1" applyFont="1" applyBorder="1" applyAlignment="1">
      <alignment horizontal="center" wrapText="1"/>
    </xf>
    <xf numFmtId="0" fontId="11" fillId="8" borderId="1" xfId="0" applyFont="1" applyFill="1" applyBorder="1" applyAlignment="1">
      <alignment vertical="top"/>
    </xf>
    <xf numFmtId="0" fontId="11" fillId="8" borderId="4" xfId="0" applyFont="1" applyFill="1" applyBorder="1" applyAlignment="1">
      <alignment horizontal="center" vertical="top"/>
    </xf>
    <xf numFmtId="0" fontId="12" fillId="8" borderId="4" xfId="0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vertical="top" wrapText="1"/>
    </xf>
    <xf numFmtId="41" fontId="12" fillId="0" borderId="19" xfId="1" applyNumberFormat="1" applyFont="1" applyFill="1" applyBorder="1" applyAlignment="1">
      <alignment horizontal="center" vertical="top" wrapText="1"/>
    </xf>
    <xf numFmtId="41" fontId="12" fillId="0" borderId="38" xfId="1" applyNumberFormat="1" applyFont="1" applyFill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left" vertical="top" wrapText="1"/>
    </xf>
    <xf numFmtId="41" fontId="7" fillId="0" borderId="19" xfId="1" applyNumberFormat="1" applyFont="1" applyFill="1" applyBorder="1" applyAlignment="1">
      <alignment horizontal="center" vertical="top" wrapText="1"/>
    </xf>
    <xf numFmtId="1" fontId="2" fillId="0" borderId="40" xfId="0" applyNumberFormat="1" applyFont="1" applyBorder="1" applyAlignment="1">
      <alignment horizontal="center" vertical="top" wrapText="1"/>
    </xf>
    <xf numFmtId="1" fontId="2" fillId="0" borderId="43" xfId="0" applyNumberFormat="1" applyFont="1" applyBorder="1" applyAlignment="1">
      <alignment horizontal="center" vertical="top" wrapText="1"/>
    </xf>
    <xf numFmtId="41" fontId="19" fillId="0" borderId="41" xfId="1" applyNumberFormat="1" applyFont="1" applyFill="1" applyBorder="1" applyAlignment="1">
      <alignment horizontal="center" vertical="top" wrapText="1"/>
    </xf>
    <xf numFmtId="41" fontId="20" fillId="0" borderId="42" xfId="1" applyNumberFormat="1" applyFont="1" applyFill="1" applyBorder="1" applyAlignment="1">
      <alignment horizontal="center" vertical="top" wrapText="1"/>
    </xf>
    <xf numFmtId="41" fontId="19" fillId="0" borderId="42" xfId="1" applyNumberFormat="1" applyFont="1" applyFill="1" applyBorder="1" applyAlignment="1">
      <alignment horizontal="center" vertical="top" wrapText="1"/>
    </xf>
    <xf numFmtId="0" fontId="19" fillId="0" borderId="42" xfId="0" applyNumberFormat="1" applyFont="1" applyBorder="1" applyAlignment="1">
      <alignment horizontal="left" vertical="top" wrapText="1"/>
    </xf>
    <xf numFmtId="41" fontId="19" fillId="0" borderId="37" xfId="1" applyNumberFormat="1" applyFont="1" applyFill="1" applyBorder="1" applyAlignment="1">
      <alignment horizontal="center" vertical="top" wrapText="1"/>
    </xf>
    <xf numFmtId="41" fontId="20" fillId="0" borderId="5" xfId="1" applyNumberFormat="1" applyFont="1" applyFill="1" applyBorder="1" applyAlignment="1">
      <alignment horizontal="center" vertical="top" wrapText="1"/>
    </xf>
    <xf numFmtId="41" fontId="19" fillId="0" borderId="5" xfId="1" applyNumberFormat="1" applyFont="1" applyFill="1" applyBorder="1" applyAlignment="1">
      <alignment horizontal="center" vertical="top" wrapText="1"/>
    </xf>
    <xf numFmtId="0" fontId="22" fillId="0" borderId="2" xfId="0" applyNumberFormat="1" applyFont="1" applyBorder="1" applyAlignment="1">
      <alignment horizontal="left" vertical="top" wrapText="1"/>
    </xf>
    <xf numFmtId="1" fontId="3" fillId="0" borderId="48" xfId="0" applyNumberFormat="1" applyFont="1" applyBorder="1" applyAlignment="1">
      <alignment horizontal="center" vertical="top"/>
    </xf>
    <xf numFmtId="41" fontId="7" fillId="0" borderId="45" xfId="0" applyNumberFormat="1" applyFont="1" applyBorder="1" applyAlignment="1">
      <alignment horizontal="left" vertical="top"/>
    </xf>
    <xf numFmtId="41" fontId="19" fillId="0" borderId="45" xfId="0" applyNumberFormat="1" applyFont="1" applyBorder="1" applyAlignment="1">
      <alignment horizontal="left" vertical="top" wrapText="1"/>
    </xf>
    <xf numFmtId="0" fontId="20" fillId="0" borderId="45" xfId="0" applyNumberFormat="1" applyFont="1" applyBorder="1" applyAlignment="1">
      <alignment horizontal="left" vertical="top" wrapText="1"/>
    </xf>
    <xf numFmtId="0" fontId="12" fillId="0" borderId="0" xfId="9" applyFont="1" applyAlignment="1">
      <alignment vertical="top" wrapText="1"/>
    </xf>
    <xf numFmtId="0" fontId="11" fillId="0" borderId="0" xfId="9" applyFont="1" applyAlignment="1">
      <alignment horizontal="center" vertical="top" wrapText="1"/>
    </xf>
    <xf numFmtId="188" fontId="11" fillId="0" borderId="1" xfId="8" applyNumberFormat="1" applyFont="1" applyFill="1" applyBorder="1" applyAlignment="1">
      <alignment horizontal="center" vertical="center" wrapText="1"/>
    </xf>
    <xf numFmtId="0" fontId="12" fillId="0" borderId="0" xfId="9" applyFont="1" applyAlignment="1">
      <alignment vertical="center" wrapText="1"/>
    </xf>
    <xf numFmtId="188" fontId="11" fillId="11" borderId="1" xfId="8" applyNumberFormat="1" applyFont="1" applyFill="1" applyBorder="1" applyAlignment="1">
      <alignment horizontal="center" vertical="top" wrapText="1"/>
    </xf>
    <xf numFmtId="0" fontId="15" fillId="11" borderId="1" xfId="9" applyFont="1" applyFill="1" applyBorder="1" applyAlignment="1">
      <alignment horizontal="center" vertical="top" wrapText="1"/>
    </xf>
    <xf numFmtId="188" fontId="11" fillId="12" borderId="1" xfId="8" applyNumberFormat="1" applyFont="1" applyFill="1" applyBorder="1" applyAlignment="1">
      <alignment vertical="top" wrapText="1"/>
    </xf>
    <xf numFmtId="0" fontId="27" fillId="12" borderId="1" xfId="9" applyFont="1" applyFill="1" applyBorder="1" applyAlignment="1">
      <alignment vertical="top" wrapText="1"/>
    </xf>
    <xf numFmtId="188" fontId="11" fillId="13" borderId="1" xfId="8" applyNumberFormat="1" applyFont="1" applyFill="1" applyBorder="1" applyAlignment="1">
      <alignment vertical="top" wrapText="1"/>
    </xf>
    <xf numFmtId="0" fontId="27" fillId="13" borderId="1" xfId="9" applyFont="1" applyFill="1" applyBorder="1" applyAlignment="1">
      <alignment vertical="top" wrapText="1"/>
    </xf>
    <xf numFmtId="188" fontId="11" fillId="14" borderId="1" xfId="8" applyNumberFormat="1" applyFont="1" applyFill="1" applyBorder="1" applyAlignment="1">
      <alignment vertical="top" wrapText="1"/>
    </xf>
    <xf numFmtId="0" fontId="27" fillId="14" borderId="1" xfId="9" applyFont="1" applyFill="1" applyBorder="1" applyAlignment="1">
      <alignment vertical="top" wrapText="1"/>
    </xf>
    <xf numFmtId="0" fontId="12" fillId="10" borderId="4" xfId="9" applyFont="1" applyFill="1" applyBorder="1" applyAlignment="1">
      <alignment horizontal="center" vertical="top" wrapText="1"/>
    </xf>
    <xf numFmtId="0" fontId="27" fillId="10" borderId="1" xfId="9" applyFont="1" applyFill="1" applyBorder="1" applyAlignment="1">
      <alignment vertical="top" wrapText="1"/>
    </xf>
    <xf numFmtId="188" fontId="11" fillId="15" borderId="1" xfId="8" applyNumberFormat="1" applyFont="1" applyFill="1" applyBorder="1" applyAlignment="1">
      <alignment vertical="top" wrapText="1"/>
    </xf>
    <xf numFmtId="0" fontId="27" fillId="15" borderId="1" xfId="9" applyFont="1" applyFill="1" applyBorder="1" applyAlignment="1">
      <alignment vertical="top" wrapText="1"/>
    </xf>
    <xf numFmtId="188" fontId="11" fillId="16" borderId="1" xfId="8" applyNumberFormat="1" applyFont="1" applyFill="1" applyBorder="1" applyAlignment="1">
      <alignment vertical="top" wrapText="1"/>
    </xf>
    <xf numFmtId="0" fontId="27" fillId="16" borderId="1" xfId="9" applyFont="1" applyFill="1" applyBorder="1" applyAlignment="1">
      <alignment vertical="top" wrapText="1"/>
    </xf>
    <xf numFmtId="188" fontId="11" fillId="17" borderId="1" xfId="8" applyNumberFormat="1" applyFont="1" applyFill="1" applyBorder="1" applyAlignment="1">
      <alignment vertical="top" wrapText="1"/>
    </xf>
    <xf numFmtId="0" fontId="27" fillId="17" borderId="1" xfId="9" applyFont="1" applyFill="1" applyBorder="1" applyAlignment="1">
      <alignment vertical="top" wrapText="1"/>
    </xf>
    <xf numFmtId="0" fontId="27" fillId="0" borderId="1" xfId="9" applyFont="1" applyBorder="1" applyAlignment="1">
      <alignment vertical="top" wrapText="1"/>
    </xf>
    <xf numFmtId="0" fontId="12" fillId="0" borderId="2" xfId="9" applyFont="1" applyBorder="1" applyAlignment="1">
      <alignment vertical="top" wrapText="1"/>
    </xf>
    <xf numFmtId="188" fontId="12" fillId="0" borderId="0" xfId="8" applyNumberFormat="1" applyFont="1" applyAlignment="1">
      <alignment vertical="top" wrapText="1"/>
    </xf>
    <xf numFmtId="0" fontId="27" fillId="0" borderId="0" xfId="9" applyFont="1" applyAlignment="1">
      <alignment vertical="top" wrapText="1"/>
    </xf>
    <xf numFmtId="188" fontId="12" fillId="0" borderId="2" xfId="8" applyNumberFormat="1" applyFont="1" applyBorder="1" applyAlignment="1">
      <alignment vertical="top" wrapText="1"/>
    </xf>
    <xf numFmtId="0" fontId="12" fillId="0" borderId="4" xfId="9" applyFont="1" applyBorder="1" applyAlignment="1">
      <alignment horizontal="center" vertical="top" wrapText="1"/>
    </xf>
    <xf numFmtId="0" fontId="12" fillId="0" borderId="2" xfId="9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29" fillId="0" borderId="1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29" fillId="0" borderId="5" xfId="0" applyNumberFormat="1" applyFont="1" applyBorder="1" applyAlignment="1">
      <alignment horizontal="left" vertical="top" wrapText="1"/>
    </xf>
    <xf numFmtId="1" fontId="7" fillId="0" borderId="28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3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1" fontId="31" fillId="0" borderId="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12" fillId="0" borderId="0" xfId="0" applyFont="1"/>
    <xf numFmtId="41" fontId="12" fillId="0" borderId="0" xfId="0" applyNumberFormat="1" applyFont="1"/>
    <xf numFmtId="0" fontId="32" fillId="9" borderId="1" xfId="0" applyFont="1" applyFill="1" applyBorder="1" applyAlignment="1">
      <alignment horizontal="center" vertical="center"/>
    </xf>
    <xf numFmtId="41" fontId="32" fillId="9" borderId="1" xfId="0" applyNumberFormat="1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41" fontId="30" fillId="9" borderId="1" xfId="0" applyNumberFormat="1" applyFont="1" applyFill="1" applyBorder="1" applyAlignment="1">
      <alignment vertical="center"/>
    </xf>
    <xf numFmtId="0" fontId="14" fillId="22" borderId="1" xfId="5" applyFont="1" applyFill="1" applyBorder="1" applyAlignment="1">
      <alignment horizontal="center" vertical="center"/>
    </xf>
    <xf numFmtId="0" fontId="7" fillId="14" borderId="1" xfId="5" applyFont="1" applyFill="1" applyBorder="1" applyAlignment="1">
      <alignment horizontal="center" vertical="top"/>
    </xf>
    <xf numFmtId="0" fontId="7" fillId="14" borderId="1" xfId="5" applyFont="1" applyFill="1" applyBorder="1" applyAlignment="1">
      <alignment horizontal="left" wrapText="1"/>
    </xf>
    <xf numFmtId="43" fontId="7" fillId="14" borderId="1" xfId="10" applyFont="1" applyFill="1" applyBorder="1" applyAlignment="1">
      <alignment horizontal="right" vertical="top"/>
    </xf>
    <xf numFmtId="43" fontId="17" fillId="14" borderId="1" xfId="10" applyFont="1" applyFill="1" applyBorder="1" applyAlignment="1">
      <alignment horizontal="right" vertical="top"/>
    </xf>
    <xf numFmtId="2" fontId="17" fillId="14" borderId="1" xfId="5" applyNumberFormat="1" applyFont="1" applyFill="1" applyBorder="1" applyAlignment="1">
      <alignment horizontal="center" vertical="top"/>
    </xf>
    <xf numFmtId="43" fontId="7" fillId="14" borderId="1" xfId="5" applyNumberFormat="1" applyFont="1" applyFill="1" applyBorder="1" applyAlignment="1">
      <alignment horizontal="right" vertical="top"/>
    </xf>
    <xf numFmtId="0" fontId="7" fillId="14" borderId="1" xfId="5" applyFont="1" applyFill="1" applyBorder="1" applyAlignment="1">
      <alignment horizontal="center" vertical="top" wrapText="1"/>
    </xf>
    <xf numFmtId="0" fontId="14" fillId="22" borderId="1" xfId="5" applyFont="1" applyFill="1" applyBorder="1" applyAlignment="1">
      <alignment horizontal="center"/>
    </xf>
    <xf numFmtId="43" fontId="14" fillId="22" borderId="1" xfId="5" applyNumberFormat="1" applyFont="1" applyFill="1" applyBorder="1" applyAlignment="1">
      <alignment horizontal="right" vertical="top"/>
    </xf>
    <xf numFmtId="2" fontId="14" fillId="22" borderId="1" xfId="5" applyNumberFormat="1" applyFont="1" applyFill="1" applyBorder="1" applyAlignment="1">
      <alignment horizontal="center" vertical="top"/>
    </xf>
    <xf numFmtId="0" fontId="14" fillId="22" borderId="1" xfId="5" applyFont="1" applyFill="1" applyBorder="1" applyAlignment="1">
      <alignment horizontal="right" vertical="top"/>
    </xf>
    <xf numFmtId="188" fontId="21" fillId="0" borderId="2" xfId="8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12" fillId="0" borderId="0" xfId="1" applyNumberFormat="1" applyFont="1"/>
    <xf numFmtId="43" fontId="11" fillId="21" borderId="1" xfId="1" applyNumberFormat="1" applyFont="1" applyFill="1" applyBorder="1" applyAlignment="1">
      <alignment horizontal="center" vertical="top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left" vertical="center" wrapText="1"/>
    </xf>
    <xf numFmtId="43" fontId="11" fillId="20" borderId="1" xfId="1" applyNumberFormat="1" applyFont="1" applyFill="1" applyBorder="1" applyAlignment="1">
      <alignment horizontal="center" vertical="top"/>
    </xf>
    <xf numFmtId="0" fontId="11" fillId="20" borderId="1" xfId="0" applyFont="1" applyFill="1" applyBorder="1" applyAlignment="1">
      <alignment horizontal="center" vertical="center"/>
    </xf>
    <xf numFmtId="0" fontId="12" fillId="20" borderId="1" xfId="0" applyFont="1" applyFill="1" applyBorder="1"/>
    <xf numFmtId="0" fontId="11" fillId="19" borderId="1" xfId="0" applyFont="1" applyFill="1" applyBorder="1" applyAlignment="1">
      <alignment horizontal="left" vertical="top" wrapText="1"/>
    </xf>
    <xf numFmtId="43" fontId="11" fillId="19" borderId="1" xfId="1" applyNumberFormat="1" applyFont="1" applyFill="1" applyBorder="1" applyAlignment="1">
      <alignment vertical="top"/>
    </xf>
    <xf numFmtId="0" fontId="11" fillId="19" borderId="1" xfId="0" applyFont="1" applyFill="1" applyBorder="1"/>
    <xf numFmtId="0" fontId="12" fillId="19" borderId="19" xfId="0" applyFont="1" applyFill="1" applyBorder="1"/>
    <xf numFmtId="0" fontId="34" fillId="0" borderId="18" xfId="0" applyFont="1" applyBorder="1" applyAlignment="1">
      <alignment horizontal="left" vertical="top" wrapText="1"/>
    </xf>
    <xf numFmtId="43" fontId="12" fillId="0" borderId="18" xfId="1" applyNumberFormat="1" applyFont="1" applyBorder="1" applyAlignment="1">
      <alignment vertical="top"/>
    </xf>
    <xf numFmtId="0" fontId="12" fillId="0" borderId="52" xfId="0" applyFont="1" applyBorder="1"/>
    <xf numFmtId="0" fontId="12" fillId="0" borderId="53" xfId="0" applyFont="1" applyBorder="1"/>
    <xf numFmtId="0" fontId="34" fillId="0" borderId="16" xfId="0" applyFont="1" applyBorder="1" applyAlignment="1">
      <alignment horizontal="left" vertical="top" wrapText="1"/>
    </xf>
    <xf numFmtId="43" fontId="12" fillId="0" borderId="16" xfId="1" applyNumberFormat="1" applyFont="1" applyBorder="1" applyAlignment="1">
      <alignment vertical="top"/>
    </xf>
    <xf numFmtId="0" fontId="12" fillId="0" borderId="16" xfId="0" applyFont="1" applyBorder="1"/>
    <xf numFmtId="0" fontId="12" fillId="0" borderId="5" xfId="0" applyFont="1" applyBorder="1"/>
    <xf numFmtId="0" fontId="12" fillId="0" borderId="1" xfId="0" applyFont="1" applyBorder="1"/>
    <xf numFmtId="0" fontId="34" fillId="0" borderId="5" xfId="0" applyFont="1" applyBorder="1" applyAlignment="1">
      <alignment horizontal="left" vertical="top" wrapText="1"/>
    </xf>
    <xf numFmtId="43" fontId="12" fillId="0" borderId="5" xfId="1" applyNumberFormat="1" applyFont="1" applyBorder="1" applyAlignment="1">
      <alignment vertical="top"/>
    </xf>
    <xf numFmtId="43" fontId="12" fillId="0" borderId="1" xfId="1" applyNumberFormat="1" applyFont="1" applyBorder="1" applyAlignment="1">
      <alignment vertical="top"/>
    </xf>
    <xf numFmtId="43" fontId="11" fillId="20" borderId="1" xfId="1" applyNumberFormat="1" applyFont="1" applyFill="1" applyBorder="1" applyAlignment="1">
      <alignment vertical="top"/>
    </xf>
    <xf numFmtId="43" fontId="11" fillId="20" borderId="5" xfId="1" applyNumberFormat="1" applyFont="1" applyFill="1" applyBorder="1" applyAlignment="1">
      <alignment vertical="top"/>
    </xf>
    <xf numFmtId="0" fontId="11" fillId="20" borderId="1" xfId="0" applyFont="1" applyFill="1" applyBorder="1"/>
    <xf numFmtId="0" fontId="12" fillId="19" borderId="1" xfId="0" applyFont="1" applyFill="1" applyBorder="1"/>
    <xf numFmtId="0" fontId="35" fillId="19" borderId="1" xfId="0" applyFont="1" applyFill="1" applyBorder="1" applyAlignment="1">
      <alignment horizontal="left" vertical="top" wrapText="1"/>
    </xf>
    <xf numFmtId="43" fontId="11" fillId="19" borderId="1" xfId="1" applyNumberFormat="1" applyFont="1" applyFill="1" applyBorder="1" applyAlignment="1">
      <alignment horizontal="left" vertical="top"/>
    </xf>
    <xf numFmtId="0" fontId="11" fillId="19" borderId="1" xfId="0" applyFont="1" applyFill="1" applyBorder="1" applyAlignment="1">
      <alignment vertical="top" wrapText="1"/>
    </xf>
    <xf numFmtId="0" fontId="11" fillId="19" borderId="1" xfId="0" applyFont="1" applyFill="1" applyBorder="1" applyAlignment="1">
      <alignment vertical="center" wrapText="1"/>
    </xf>
    <xf numFmtId="0" fontId="11" fillId="19" borderId="1" xfId="0" applyFont="1" applyFill="1" applyBorder="1" applyAlignment="1">
      <alignment horizontal="left" vertical="top"/>
    </xf>
    <xf numFmtId="43" fontId="12" fillId="10" borderId="1" xfId="1" applyNumberFormat="1" applyFont="1" applyFill="1" applyBorder="1" applyAlignment="1">
      <alignment horizontal="left" vertical="top"/>
    </xf>
    <xf numFmtId="188" fontId="12" fillId="10" borderId="1" xfId="1" applyNumberFormat="1" applyFont="1" applyFill="1" applyBorder="1" applyAlignment="1">
      <alignment horizontal="left" vertical="top"/>
    </xf>
    <xf numFmtId="0" fontId="12" fillId="10" borderId="1" xfId="0" applyFont="1" applyFill="1" applyBorder="1" applyAlignment="1">
      <alignment horizontal="left" vertical="top"/>
    </xf>
    <xf numFmtId="0" fontId="22" fillId="10" borderId="1" xfId="0" applyFont="1" applyFill="1" applyBorder="1" applyAlignment="1">
      <alignment horizontal="center" wrapText="1"/>
    </xf>
    <xf numFmtId="0" fontId="12" fillId="10" borderId="0" xfId="0" applyFont="1" applyFill="1"/>
    <xf numFmtId="43" fontId="12" fillId="10" borderId="1" xfId="1" applyFont="1" applyFill="1" applyBorder="1" applyAlignment="1">
      <alignment horizontal="left" vertical="top"/>
    </xf>
    <xf numFmtId="0" fontId="11" fillId="20" borderId="1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43" fontId="11" fillId="14" borderId="1" xfId="0" applyNumberFormat="1" applyFont="1" applyFill="1" applyBorder="1" applyAlignment="1">
      <alignment vertical="top"/>
    </xf>
    <xf numFmtId="0" fontId="12" fillId="14" borderId="1" xfId="0" applyFont="1" applyFill="1" applyBorder="1"/>
    <xf numFmtId="43" fontId="12" fillId="0" borderId="0" xfId="0" applyNumberFormat="1" applyFont="1"/>
    <xf numFmtId="43" fontId="12" fillId="0" borderId="23" xfId="1" applyNumberFormat="1" applyFont="1" applyBorder="1" applyAlignment="1"/>
    <xf numFmtId="43" fontId="12" fillId="0" borderId="0" xfId="1" applyNumberFormat="1" applyFont="1" applyBorder="1" applyAlignment="1"/>
    <xf numFmtId="188" fontId="11" fillId="0" borderId="0" xfId="1" applyNumberFormat="1" applyFont="1" applyAlignment="1">
      <alignment horizontal="left" vertical="top"/>
    </xf>
    <xf numFmtId="43" fontId="11" fillId="0" borderId="0" xfId="1" applyNumberFormat="1" applyFont="1" applyBorder="1" applyAlignment="1">
      <alignment horizontal="left"/>
    </xf>
    <xf numFmtId="43" fontId="11" fillId="0" borderId="0" xfId="1" applyNumberFormat="1" applyFont="1" applyAlignment="1">
      <alignment horizontal="left"/>
    </xf>
    <xf numFmtId="10" fontId="11" fillId="0" borderId="0" xfId="0" applyNumberFormat="1" applyFont="1" applyAlignment="1">
      <alignment horizontal="left" vertical="top"/>
    </xf>
    <xf numFmtId="10" fontId="12" fillId="0" borderId="0" xfId="0" applyNumberFormat="1" applyFont="1"/>
    <xf numFmtId="43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27" fillId="0" borderId="1" xfId="0" applyFont="1" applyBorder="1"/>
    <xf numFmtId="0" fontId="34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1" fillId="2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43" fontId="12" fillId="0" borderId="1" xfId="1" applyNumberFormat="1" applyFont="1" applyFill="1" applyBorder="1" applyAlignment="1">
      <alignment vertical="top"/>
    </xf>
    <xf numFmtId="0" fontId="11" fillId="0" borderId="1" xfId="0" applyFont="1" applyFill="1" applyBorder="1"/>
    <xf numFmtId="0" fontId="7" fillId="10" borderId="1" xfId="0" applyFont="1" applyFill="1" applyBorder="1" applyAlignment="1">
      <alignment vertical="top" wrapText="1"/>
    </xf>
    <xf numFmtId="43" fontId="7" fillId="10" borderId="1" xfId="1" applyNumberFormat="1" applyFont="1" applyFill="1" applyBorder="1" applyAlignment="1">
      <alignment vertical="top"/>
    </xf>
    <xf numFmtId="0" fontId="17" fillId="10" borderId="1" xfId="0" applyFont="1" applyFill="1" applyBorder="1"/>
    <xf numFmtId="0" fontId="3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0" fontId="11" fillId="20" borderId="1" xfId="0" applyFont="1" applyFill="1" applyBorder="1" applyAlignment="1">
      <alignment horizontal="left" wrapText="1"/>
    </xf>
    <xf numFmtId="0" fontId="11" fillId="14" borderId="1" xfId="0" applyFont="1" applyFill="1" applyBorder="1" applyAlignment="1">
      <alignment horizontal="center" vertical="top"/>
    </xf>
    <xf numFmtId="43" fontId="7" fillId="0" borderId="1" xfId="1" applyNumberFormat="1" applyFont="1" applyBorder="1" applyAlignment="1">
      <alignment vertical="top"/>
    </xf>
    <xf numFmtId="188" fontId="27" fillId="0" borderId="2" xfId="8" applyNumberFormat="1" applyFont="1" applyBorder="1" applyAlignment="1">
      <alignment vertical="top" wrapText="1"/>
    </xf>
    <xf numFmtId="188" fontId="27" fillId="0" borderId="2" xfId="8" applyNumberFormat="1" applyFont="1" applyBorder="1" applyAlignment="1">
      <alignment horizontal="center" vertical="top" wrapText="1"/>
    </xf>
    <xf numFmtId="43" fontId="11" fillId="0" borderId="1" xfId="8" applyNumberFormat="1" applyFont="1" applyFill="1" applyBorder="1" applyAlignment="1">
      <alignment horizontal="center" vertical="center" wrapText="1"/>
    </xf>
    <xf numFmtId="43" fontId="11" fillId="11" borderId="1" xfId="8" applyNumberFormat="1" applyFont="1" applyFill="1" applyBorder="1" applyAlignment="1">
      <alignment horizontal="center" vertical="top" wrapText="1"/>
    </xf>
    <xf numFmtId="43" fontId="11" fillId="12" borderId="1" xfId="8" applyNumberFormat="1" applyFont="1" applyFill="1" applyBorder="1" applyAlignment="1">
      <alignment vertical="top" wrapText="1"/>
    </xf>
    <xf numFmtId="43" fontId="11" fillId="13" borderId="1" xfId="8" applyNumberFormat="1" applyFont="1" applyFill="1" applyBorder="1" applyAlignment="1">
      <alignment vertical="top" wrapText="1"/>
    </xf>
    <xf numFmtId="43" fontId="11" fillId="14" borderId="1" xfId="8" applyNumberFormat="1" applyFont="1" applyFill="1" applyBorder="1" applyAlignment="1">
      <alignment vertical="top" wrapText="1"/>
    </xf>
    <xf numFmtId="43" fontId="12" fillId="0" borderId="2" xfId="8" applyNumberFormat="1" applyFont="1" applyBorder="1" applyAlignment="1">
      <alignment vertical="top" wrapText="1"/>
    </xf>
    <xf numFmtId="43" fontId="11" fillId="15" borderId="1" xfId="8" applyNumberFormat="1" applyFont="1" applyFill="1" applyBorder="1" applyAlignment="1">
      <alignment vertical="top" wrapText="1"/>
    </xf>
    <xf numFmtId="43" fontId="11" fillId="16" borderId="1" xfId="8" applyNumberFormat="1" applyFont="1" applyFill="1" applyBorder="1" applyAlignment="1">
      <alignment vertical="top" wrapText="1"/>
    </xf>
    <xf numFmtId="43" fontId="11" fillId="17" borderId="1" xfId="8" applyNumberFormat="1" applyFont="1" applyFill="1" applyBorder="1" applyAlignment="1">
      <alignment vertical="top" wrapText="1"/>
    </xf>
    <xf numFmtId="43" fontId="12" fillId="0" borderId="0" xfId="8" applyNumberFormat="1" applyFont="1" applyAlignment="1">
      <alignment vertical="top" wrapText="1"/>
    </xf>
    <xf numFmtId="41" fontId="37" fillId="0" borderId="5" xfId="1" applyNumberFormat="1" applyFont="1" applyBorder="1" applyAlignment="1">
      <alignment horizontal="center" vertical="top" wrapText="1"/>
    </xf>
    <xf numFmtId="41" fontId="37" fillId="0" borderId="1" xfId="1" applyNumberFormat="1" applyFont="1" applyFill="1" applyBorder="1" applyAlignment="1">
      <alignment horizontal="center" vertical="top" wrapText="1"/>
    </xf>
    <xf numFmtId="41" fontId="37" fillId="0" borderId="16" xfId="0" applyNumberFormat="1" applyFont="1" applyBorder="1" applyAlignment="1">
      <alignment horizontal="center" vertical="top" wrapText="1"/>
    </xf>
    <xf numFmtId="41" fontId="20" fillId="0" borderId="0" xfId="0" applyNumberFormat="1" applyFont="1" applyBorder="1" applyAlignment="1">
      <alignment wrapText="1"/>
    </xf>
    <xf numFmtId="41" fontId="37" fillId="0" borderId="16" xfId="0" applyNumberFormat="1" applyFont="1" applyBorder="1" applyAlignment="1">
      <alignment horizontal="left" vertical="top" wrapText="1"/>
    </xf>
    <xf numFmtId="41" fontId="38" fillId="0" borderId="0" xfId="0" applyNumberFormat="1" applyFont="1" applyBorder="1" applyAlignment="1">
      <alignment wrapText="1"/>
    </xf>
    <xf numFmtId="41" fontId="37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187" fontId="37" fillId="0" borderId="0" xfId="0" applyNumberFormat="1" applyFont="1" applyBorder="1" applyAlignment="1">
      <alignment wrapText="1"/>
    </xf>
    <xf numFmtId="41" fontId="38" fillId="2" borderId="1" xfId="0" applyNumberFormat="1" applyFont="1" applyFill="1" applyBorder="1" applyAlignment="1">
      <alignment horizontal="center" vertical="center"/>
    </xf>
    <xf numFmtId="43" fontId="38" fillId="2" borderId="1" xfId="1" applyNumberFormat="1" applyFont="1" applyFill="1" applyBorder="1" applyAlignment="1">
      <alignment horizontal="center" vertical="center"/>
    </xf>
    <xf numFmtId="43" fontId="38" fillId="2" borderId="1" xfId="1" applyFont="1" applyFill="1" applyBorder="1" applyAlignment="1">
      <alignment horizontal="center" vertical="center"/>
    </xf>
    <xf numFmtId="2" fontId="38" fillId="2" borderId="1" xfId="1" applyNumberFormat="1" applyFont="1" applyFill="1" applyBorder="1" applyAlignment="1">
      <alignment horizontal="center" vertical="center"/>
    </xf>
    <xf numFmtId="43" fontId="38" fillId="2" borderId="1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vertical="center"/>
    </xf>
    <xf numFmtId="41" fontId="37" fillId="0" borderId="0" xfId="0" applyNumberFormat="1" applyFont="1" applyBorder="1" applyAlignment="1"/>
    <xf numFmtId="187" fontId="37" fillId="0" borderId="0" xfId="0" applyNumberFormat="1" applyFont="1" applyBorder="1" applyAlignment="1"/>
    <xf numFmtId="0" fontId="37" fillId="0" borderId="0" xfId="0" applyFont="1" applyBorder="1" applyAlignment="1"/>
    <xf numFmtId="41" fontId="38" fillId="9" borderId="1" xfId="0" applyNumberFormat="1" applyFont="1" applyFill="1" applyBorder="1" applyAlignment="1">
      <alignment horizontal="left" vertical="top"/>
    </xf>
    <xf numFmtId="43" fontId="38" fillId="9" borderId="1" xfId="0" applyNumberFormat="1" applyFont="1" applyFill="1" applyBorder="1" applyAlignment="1">
      <alignment horizontal="left" vertical="top"/>
    </xf>
    <xf numFmtId="2" fontId="38" fillId="9" borderId="1" xfId="1" applyNumberFormat="1" applyFont="1" applyFill="1" applyBorder="1" applyAlignment="1">
      <alignment horizontal="center" vertical="top"/>
    </xf>
    <xf numFmtId="0" fontId="38" fillId="9" borderId="1" xfId="0" applyNumberFormat="1" applyFont="1" applyFill="1" applyBorder="1" applyAlignment="1">
      <alignment vertical="top"/>
    </xf>
    <xf numFmtId="41" fontId="37" fillId="0" borderId="0" xfId="0" applyNumberFormat="1" applyFont="1" applyBorder="1" applyAlignment="1">
      <alignment vertical="top"/>
    </xf>
    <xf numFmtId="0" fontId="37" fillId="0" borderId="0" xfId="0" applyFont="1" applyBorder="1" applyAlignment="1">
      <alignment vertical="top"/>
    </xf>
    <xf numFmtId="41" fontId="38" fillId="8" borderId="1" xfId="0" applyNumberFormat="1" applyFont="1" applyFill="1" applyBorder="1" applyAlignment="1">
      <alignment vertical="top"/>
    </xf>
    <xf numFmtId="43" fontId="38" fillId="8" borderId="1" xfId="0" applyNumberFormat="1" applyFont="1" applyFill="1" applyBorder="1" applyAlignment="1">
      <alignment vertical="top"/>
    </xf>
    <xf numFmtId="43" fontId="38" fillId="8" borderId="1" xfId="1" applyFont="1" applyFill="1" applyBorder="1" applyAlignment="1">
      <alignment vertical="top"/>
    </xf>
    <xf numFmtId="2" fontId="38" fillId="8" borderId="1" xfId="1" applyNumberFormat="1" applyFont="1" applyFill="1" applyBorder="1" applyAlignment="1">
      <alignment horizontal="center" vertical="top"/>
    </xf>
    <xf numFmtId="0" fontId="37" fillId="8" borderId="1" xfId="0" applyNumberFormat="1" applyFont="1" applyFill="1" applyBorder="1" applyAlignment="1"/>
    <xf numFmtId="41" fontId="38" fillId="0" borderId="0" xfId="0" applyNumberFormat="1" applyFont="1" applyBorder="1" applyAlignment="1"/>
    <xf numFmtId="0" fontId="37" fillId="8" borderId="4" xfId="0" applyFont="1" applyFill="1" applyBorder="1" applyAlignment="1">
      <alignment horizontal="center" wrapText="1"/>
    </xf>
    <xf numFmtId="41" fontId="38" fillId="8" borderId="1" xfId="0" applyNumberFormat="1" applyFont="1" applyFill="1" applyBorder="1" applyAlignment="1">
      <alignment horizontal="left" vertical="top"/>
    </xf>
    <xf numFmtId="0" fontId="37" fillId="8" borderId="2" xfId="0" applyNumberFormat="1" applyFont="1" applyFill="1" applyBorder="1" applyAlignment="1"/>
    <xf numFmtId="1" fontId="37" fillId="0" borderId="6" xfId="0" applyNumberFormat="1" applyFont="1" applyBorder="1" applyAlignment="1">
      <alignment horizontal="center" vertical="top" wrapText="1"/>
    </xf>
    <xf numFmtId="41" fontId="37" fillId="0" borderId="1" xfId="0" applyNumberFormat="1" applyFont="1" applyBorder="1" applyAlignment="1">
      <alignment horizontal="center" vertical="top"/>
    </xf>
    <xf numFmtId="49" fontId="37" fillId="0" borderId="1" xfId="0" applyNumberFormat="1" applyFont="1" applyBorder="1" applyAlignment="1">
      <alignment horizontal="center" vertical="top" wrapText="1"/>
    </xf>
    <xf numFmtId="43" fontId="37" fillId="0" borderId="1" xfId="0" applyNumberFormat="1" applyFont="1" applyBorder="1" applyAlignment="1">
      <alignment horizontal="center" vertical="top"/>
    </xf>
    <xf numFmtId="43" fontId="37" fillId="0" borderId="1" xfId="1" applyFont="1" applyBorder="1" applyAlignment="1">
      <alignment horizontal="center" vertical="top"/>
    </xf>
    <xf numFmtId="2" fontId="37" fillId="0" borderId="1" xfId="0" applyNumberFormat="1" applyFont="1" applyBorder="1" applyAlignment="1">
      <alignment horizontal="center" vertical="top"/>
    </xf>
    <xf numFmtId="0" fontId="37" fillId="0" borderId="1" xfId="0" applyNumberFormat="1" applyFont="1" applyBorder="1" applyAlignment="1">
      <alignment vertical="top"/>
    </xf>
    <xf numFmtId="41" fontId="37" fillId="0" borderId="1" xfId="0" applyNumberFormat="1" applyFont="1" applyBorder="1" applyAlignment="1">
      <alignment horizontal="center" vertical="top" wrapText="1"/>
    </xf>
    <xf numFmtId="43" fontId="37" fillId="0" borderId="1" xfId="0" applyNumberFormat="1" applyFont="1" applyBorder="1" applyAlignment="1">
      <alignment horizontal="center" vertical="top" wrapText="1"/>
    </xf>
    <xf numFmtId="43" fontId="37" fillId="0" borderId="1" xfId="1" applyFont="1" applyBorder="1" applyAlignment="1">
      <alignment horizontal="center" vertical="top" wrapText="1"/>
    </xf>
    <xf numFmtId="2" fontId="37" fillId="0" borderId="1" xfId="1" applyNumberFormat="1" applyFont="1" applyBorder="1" applyAlignment="1">
      <alignment horizontal="center" vertical="top"/>
    </xf>
    <xf numFmtId="0" fontId="37" fillId="0" borderId="1" xfId="0" applyNumberFormat="1" applyFont="1" applyBorder="1" applyAlignment="1">
      <alignment vertical="top" wrapText="1"/>
    </xf>
    <xf numFmtId="41" fontId="37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8" borderId="4" xfId="0" applyFont="1" applyFill="1" applyBorder="1" applyAlignment="1">
      <alignment horizontal="center" vertical="top"/>
    </xf>
    <xf numFmtId="41" fontId="38" fillId="8" borderId="5" xfId="0" applyNumberFormat="1" applyFont="1" applyFill="1" applyBorder="1" applyAlignment="1">
      <alignment vertical="top"/>
    </xf>
    <xf numFmtId="41" fontId="38" fillId="8" borderId="7" xfId="0" applyNumberFormat="1" applyFont="1" applyFill="1" applyBorder="1" applyAlignment="1">
      <alignment vertical="top"/>
    </xf>
    <xf numFmtId="43" fontId="38" fillId="8" borderId="7" xfId="0" applyNumberFormat="1" applyFont="1" applyFill="1" applyBorder="1" applyAlignment="1">
      <alignment vertical="top"/>
    </xf>
    <xf numFmtId="2" fontId="38" fillId="8" borderId="7" xfId="0" applyNumberFormat="1" applyFont="1" applyFill="1" applyBorder="1" applyAlignment="1">
      <alignment horizontal="center" vertical="top"/>
    </xf>
    <xf numFmtId="0" fontId="38" fillId="8" borderId="5" xfId="0" applyNumberFormat="1" applyFont="1" applyFill="1" applyBorder="1" applyAlignment="1">
      <alignment vertical="top"/>
    </xf>
    <xf numFmtId="41" fontId="38" fillId="0" borderId="0" xfId="0" applyNumberFormat="1" applyFont="1" applyBorder="1" applyAlignment="1">
      <alignment vertical="top"/>
    </xf>
    <xf numFmtId="0" fontId="38" fillId="0" borderId="0" xfId="0" applyFont="1" applyBorder="1" applyAlignment="1">
      <alignment vertical="top"/>
    </xf>
    <xf numFmtId="1" fontId="37" fillId="0" borderId="22" xfId="0" applyNumberFormat="1" applyFont="1" applyBorder="1" applyAlignment="1">
      <alignment horizontal="center" vertical="top" wrapText="1"/>
    </xf>
    <xf numFmtId="43" fontId="37" fillId="0" borderId="5" xfId="0" applyNumberFormat="1" applyFont="1" applyBorder="1" applyAlignment="1">
      <alignment horizontal="center" vertical="top"/>
    </xf>
    <xf numFmtId="43" fontId="37" fillId="0" borderId="5" xfId="1" applyFont="1" applyBorder="1" applyAlignment="1">
      <alignment horizontal="center" vertical="top"/>
    </xf>
    <xf numFmtId="2" fontId="37" fillId="0" borderId="5" xfId="0" applyNumberFormat="1" applyFont="1" applyBorder="1" applyAlignment="1">
      <alignment horizontal="center" vertical="top"/>
    </xf>
    <xf numFmtId="0" fontId="37" fillId="0" borderId="5" xfId="0" applyNumberFormat="1" applyFont="1" applyBorder="1" applyAlignment="1">
      <alignment vertical="top" wrapText="1"/>
    </xf>
    <xf numFmtId="1" fontId="38" fillId="8" borderId="4" xfId="0" applyNumberFormat="1" applyFont="1" applyFill="1" applyBorder="1" applyAlignment="1">
      <alignment horizontal="center" vertical="top" wrapText="1"/>
    </xf>
    <xf numFmtId="41" fontId="38" fillId="8" borderId="1" xfId="0" applyNumberFormat="1" applyFont="1" applyFill="1" applyBorder="1" applyAlignment="1">
      <alignment horizontal="center" vertical="top" wrapText="1"/>
    </xf>
    <xf numFmtId="43" fontId="38" fillId="8" borderId="1" xfId="0" applyNumberFormat="1" applyFont="1" applyFill="1" applyBorder="1" applyAlignment="1">
      <alignment horizontal="center" vertical="top" wrapText="1"/>
    </xf>
    <xf numFmtId="43" fontId="38" fillId="8" borderId="1" xfId="1" applyNumberFormat="1" applyFont="1" applyFill="1" applyBorder="1" applyAlignment="1">
      <alignment horizontal="center" vertical="top" wrapText="1"/>
    </xf>
    <xf numFmtId="2" fontId="38" fillId="8" borderId="1" xfId="0" applyNumberFormat="1" applyFont="1" applyFill="1" applyBorder="1" applyAlignment="1">
      <alignment horizontal="center" vertical="top" wrapText="1"/>
    </xf>
    <xf numFmtId="0" fontId="38" fillId="8" borderId="1" xfId="0" applyNumberFormat="1" applyFont="1" applyFill="1" applyBorder="1" applyAlignment="1">
      <alignment vertical="top"/>
    </xf>
    <xf numFmtId="41" fontId="38" fillId="0" borderId="0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1" fontId="37" fillId="0" borderId="10" xfId="0" applyNumberFormat="1" applyFont="1" applyBorder="1" applyAlignment="1">
      <alignment horizontal="center" vertical="top" wrapText="1"/>
    </xf>
    <xf numFmtId="41" fontId="37" fillId="0" borderId="1" xfId="1" applyNumberFormat="1" applyFont="1" applyBorder="1" applyAlignment="1">
      <alignment horizontal="center" vertical="top" wrapText="1"/>
    </xf>
    <xf numFmtId="43" fontId="37" fillId="0" borderId="1" xfId="1" applyNumberFormat="1" applyFont="1" applyBorder="1" applyAlignment="1">
      <alignment horizontal="center" vertical="top" wrapText="1"/>
    </xf>
    <xf numFmtId="2" fontId="37" fillId="0" borderId="1" xfId="1" applyNumberFormat="1" applyFont="1" applyBorder="1" applyAlignment="1">
      <alignment horizontal="center" vertical="top" wrapText="1"/>
    </xf>
    <xf numFmtId="43" fontId="37" fillId="0" borderId="5" xfId="1" applyNumberFormat="1" applyFont="1" applyBorder="1" applyAlignment="1">
      <alignment horizontal="center" vertical="top" wrapText="1"/>
    </xf>
    <xf numFmtId="43" fontId="37" fillId="0" borderId="5" xfId="1" applyFont="1" applyBorder="1" applyAlignment="1">
      <alignment horizontal="center" vertical="top" wrapText="1"/>
    </xf>
    <xf numFmtId="43" fontId="37" fillId="0" borderId="1" xfId="1" applyNumberFormat="1" applyFont="1" applyFill="1" applyBorder="1" applyAlignment="1">
      <alignment horizontal="center" vertical="top" wrapText="1"/>
    </xf>
    <xf numFmtId="43" fontId="37" fillId="0" borderId="1" xfId="1" applyFont="1" applyFill="1" applyBorder="1" applyAlignment="1">
      <alignment horizontal="center" vertical="top" wrapText="1"/>
    </xf>
    <xf numFmtId="41" fontId="37" fillId="0" borderId="19" xfId="1" applyNumberFormat="1" applyFont="1" applyFill="1" applyBorder="1" applyAlignment="1">
      <alignment horizontal="center" vertical="top" wrapText="1"/>
    </xf>
    <xf numFmtId="41" fontId="37" fillId="0" borderId="19" xfId="1" applyNumberFormat="1" applyFont="1" applyBorder="1" applyAlignment="1">
      <alignment horizontal="center" vertical="top" wrapText="1"/>
    </xf>
    <xf numFmtId="43" fontId="37" fillId="0" borderId="19" xfId="1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41" fontId="37" fillId="0" borderId="12" xfId="0" applyNumberFormat="1" applyFont="1" applyBorder="1" applyAlignment="1">
      <alignment vertical="top" wrapText="1"/>
    </xf>
    <xf numFmtId="41" fontId="37" fillId="0" borderId="12" xfId="0" applyNumberFormat="1" applyFont="1" applyBorder="1" applyAlignment="1"/>
    <xf numFmtId="0" fontId="37" fillId="0" borderId="12" xfId="0" applyFont="1" applyBorder="1" applyAlignment="1">
      <alignment vertical="top" wrapText="1"/>
    </xf>
    <xf numFmtId="187" fontId="37" fillId="0" borderId="12" xfId="0" applyNumberFormat="1" applyFont="1" applyBorder="1" applyAlignment="1"/>
    <xf numFmtId="1" fontId="38" fillId="8" borderId="9" xfId="0" applyNumberFormat="1" applyFont="1" applyFill="1" applyBorder="1" applyAlignment="1">
      <alignment horizontal="center" vertical="top" wrapText="1"/>
    </xf>
    <xf numFmtId="41" fontId="38" fillId="8" borderId="5" xfId="1" applyNumberFormat="1" applyFont="1" applyFill="1" applyBorder="1" applyAlignment="1">
      <alignment horizontal="center" vertical="top" wrapText="1"/>
    </xf>
    <xf numFmtId="43" fontId="38" fillId="8" borderId="5" xfId="1" applyNumberFormat="1" applyFont="1" applyFill="1" applyBorder="1" applyAlignment="1">
      <alignment horizontal="center" vertical="top" wrapText="1"/>
    </xf>
    <xf numFmtId="2" fontId="38" fillId="8" borderId="5" xfId="1" applyNumberFormat="1" applyFont="1" applyFill="1" applyBorder="1" applyAlignment="1">
      <alignment horizontal="center" vertical="top" wrapText="1"/>
    </xf>
    <xf numFmtId="0" fontId="38" fillId="8" borderId="5" xfId="0" applyNumberFormat="1" applyFont="1" applyFill="1" applyBorder="1" applyAlignment="1">
      <alignment vertical="top" wrapText="1"/>
    </xf>
    <xf numFmtId="2" fontId="37" fillId="0" borderId="1" xfId="1" applyNumberFormat="1" applyFont="1" applyFill="1" applyBorder="1" applyAlignment="1">
      <alignment horizontal="center" vertical="top" wrapText="1"/>
    </xf>
    <xf numFmtId="1" fontId="37" fillId="0" borderId="21" xfId="0" applyNumberFormat="1" applyFont="1" applyBorder="1" applyAlignment="1">
      <alignment horizontal="center" vertical="top" wrapText="1"/>
    </xf>
    <xf numFmtId="41" fontId="37" fillId="0" borderId="18" xfId="1" applyNumberFormat="1" applyFont="1" applyFill="1" applyBorder="1" applyAlignment="1">
      <alignment horizontal="center" vertical="top" wrapText="1"/>
    </xf>
    <xf numFmtId="43" fontId="37" fillId="0" borderId="18" xfId="1" applyNumberFormat="1" applyFont="1" applyFill="1" applyBorder="1" applyAlignment="1">
      <alignment horizontal="center" vertical="top" wrapText="1"/>
    </xf>
    <xf numFmtId="43" fontId="37" fillId="0" borderId="18" xfId="1" applyFont="1" applyFill="1" applyBorder="1" applyAlignment="1">
      <alignment horizontal="center" vertical="top" wrapText="1"/>
    </xf>
    <xf numFmtId="2" fontId="37" fillId="0" borderId="18" xfId="1" applyNumberFormat="1" applyFont="1" applyFill="1" applyBorder="1" applyAlignment="1">
      <alignment horizontal="center" vertical="top" wrapText="1"/>
    </xf>
    <xf numFmtId="0" fontId="37" fillId="0" borderId="18" xfId="0" applyNumberFormat="1" applyFont="1" applyBorder="1" applyAlignment="1">
      <alignment vertical="top" wrapText="1"/>
    </xf>
    <xf numFmtId="1" fontId="37" fillId="0" borderId="58" xfId="0" applyNumberFormat="1" applyFont="1" applyBorder="1" applyAlignment="1">
      <alignment horizontal="center" vertical="top" wrapText="1"/>
    </xf>
    <xf numFmtId="41" fontId="37" fillId="0" borderId="16" xfId="1" applyNumberFormat="1" applyFont="1" applyFill="1" applyBorder="1" applyAlignment="1">
      <alignment horizontal="center" vertical="top" wrapText="1"/>
    </xf>
    <xf numFmtId="43" fontId="37" fillId="0" borderId="16" xfId="1" applyNumberFormat="1" applyFont="1" applyFill="1" applyBorder="1" applyAlignment="1">
      <alignment horizontal="center" vertical="top" wrapText="1"/>
    </xf>
    <xf numFmtId="43" fontId="37" fillId="0" borderId="16" xfId="1" applyFont="1" applyFill="1" applyBorder="1" applyAlignment="1">
      <alignment horizontal="center" vertical="top" wrapText="1"/>
    </xf>
    <xf numFmtId="2" fontId="37" fillId="0" borderId="16" xfId="1" applyNumberFormat="1" applyFont="1" applyFill="1" applyBorder="1" applyAlignment="1">
      <alignment horizontal="center" vertical="top" wrapText="1"/>
    </xf>
    <xf numFmtId="0" fontId="37" fillId="0" borderId="16" xfId="0" applyNumberFormat="1" applyFont="1" applyBorder="1" applyAlignment="1">
      <alignment vertical="top" wrapText="1"/>
    </xf>
    <xf numFmtId="41" fontId="37" fillId="0" borderId="5" xfId="1" applyNumberFormat="1" applyFont="1" applyFill="1" applyBorder="1" applyAlignment="1">
      <alignment horizontal="center" vertical="top" wrapText="1"/>
    </xf>
    <xf numFmtId="43" fontId="37" fillId="0" borderId="5" xfId="1" applyNumberFormat="1" applyFont="1" applyFill="1" applyBorder="1" applyAlignment="1">
      <alignment horizontal="center" vertical="top" wrapText="1"/>
    </xf>
    <xf numFmtId="43" fontId="37" fillId="0" borderId="55" xfId="1" applyNumberFormat="1" applyFont="1" applyFill="1" applyBorder="1" applyAlignment="1">
      <alignment horizontal="center" vertical="top" wrapText="1"/>
    </xf>
    <xf numFmtId="43" fontId="37" fillId="0" borderId="5" xfId="1" applyFont="1" applyFill="1" applyBorder="1" applyAlignment="1">
      <alignment horizontal="center" vertical="top" wrapText="1"/>
    </xf>
    <xf numFmtId="2" fontId="37" fillId="0" borderId="5" xfId="1" applyNumberFormat="1" applyFont="1" applyFill="1" applyBorder="1" applyAlignment="1">
      <alignment horizontal="center" vertical="top" wrapText="1"/>
    </xf>
    <xf numFmtId="1" fontId="37" fillId="0" borderId="40" xfId="0" applyNumberFormat="1" applyFont="1" applyBorder="1" applyAlignment="1">
      <alignment horizontal="center" vertical="top" wrapText="1"/>
    </xf>
    <xf numFmtId="41" fontId="37" fillId="0" borderId="13" xfId="0" applyNumberFormat="1" applyFont="1" applyBorder="1" applyAlignment="1">
      <alignment horizontal="center" vertical="top" wrapText="1"/>
    </xf>
    <xf numFmtId="1" fontId="37" fillId="8" borderId="11" xfId="0" applyNumberFormat="1" applyFont="1" applyFill="1" applyBorder="1" applyAlignment="1">
      <alignment horizontal="center" vertical="top" wrapText="1"/>
    </xf>
    <xf numFmtId="41" fontId="38" fillId="8" borderId="1" xfId="1" applyNumberFormat="1" applyFont="1" applyFill="1" applyBorder="1" applyAlignment="1">
      <alignment horizontal="center" vertical="top" wrapText="1"/>
    </xf>
    <xf numFmtId="2" fontId="38" fillId="8" borderId="1" xfId="1" applyNumberFormat="1" applyFont="1" applyFill="1" applyBorder="1" applyAlignment="1">
      <alignment horizontal="center" vertical="top" wrapText="1"/>
    </xf>
    <xf numFmtId="0" fontId="37" fillId="8" borderId="1" xfId="0" applyNumberFormat="1" applyFont="1" applyFill="1" applyBorder="1" applyAlignment="1">
      <alignment vertical="top" wrapText="1"/>
    </xf>
    <xf numFmtId="1" fontId="37" fillId="0" borderId="4" xfId="0" applyNumberFormat="1" applyFont="1" applyBorder="1" applyAlignment="1">
      <alignment horizontal="center" vertical="top" wrapText="1"/>
    </xf>
    <xf numFmtId="41" fontId="37" fillId="0" borderId="2" xfId="1" applyNumberFormat="1" applyFont="1" applyFill="1" applyBorder="1" applyAlignment="1">
      <alignment horizontal="center" vertical="top" wrapText="1"/>
    </xf>
    <xf numFmtId="43" fontId="37" fillId="0" borderId="2" xfId="1" applyNumberFormat="1" applyFont="1" applyFill="1" applyBorder="1" applyAlignment="1">
      <alignment horizontal="center" vertical="top" wrapText="1"/>
    </xf>
    <xf numFmtId="43" fontId="37" fillId="0" borderId="2" xfId="1" applyFont="1" applyFill="1" applyBorder="1" applyAlignment="1">
      <alignment horizontal="center" vertical="top" wrapText="1"/>
    </xf>
    <xf numFmtId="0" fontId="37" fillId="0" borderId="2" xfId="0" applyNumberFormat="1" applyFont="1" applyBorder="1" applyAlignment="1">
      <alignment vertical="top" wrapText="1"/>
    </xf>
    <xf numFmtId="41" fontId="38" fillId="7" borderId="1" xfId="0" applyNumberFormat="1" applyFont="1" applyFill="1" applyBorder="1" applyAlignment="1">
      <alignment horizontal="center" vertical="center" wrapText="1"/>
    </xf>
    <xf numFmtId="43" fontId="38" fillId="7" borderId="1" xfId="0" applyNumberFormat="1" applyFont="1" applyFill="1" applyBorder="1" applyAlignment="1">
      <alignment horizontal="center" vertical="center" wrapText="1"/>
    </xf>
    <xf numFmtId="2" fontId="38" fillId="7" borderId="1" xfId="1" applyNumberFormat="1" applyFont="1" applyFill="1" applyBorder="1" applyAlignment="1">
      <alignment horizontal="center" vertical="center" wrapText="1"/>
    </xf>
    <xf numFmtId="0" fontId="38" fillId="7" borderId="1" xfId="0" applyNumberFormat="1" applyFont="1" applyFill="1" applyBorder="1" applyAlignment="1">
      <alignment vertical="center" wrapText="1"/>
    </xf>
    <xf numFmtId="41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41" fontId="38" fillId="6" borderId="1" xfId="0" applyNumberFormat="1" applyFont="1" applyFill="1" applyBorder="1" applyAlignment="1">
      <alignment horizontal="left" vertical="top" wrapText="1"/>
    </xf>
    <xf numFmtId="43" fontId="38" fillId="6" borderId="1" xfId="0" applyNumberFormat="1" applyFont="1" applyFill="1" applyBorder="1" applyAlignment="1">
      <alignment horizontal="left" vertical="top" wrapText="1"/>
    </xf>
    <xf numFmtId="2" fontId="38" fillId="6" borderId="1" xfId="1" applyNumberFormat="1" applyFont="1" applyFill="1" applyBorder="1" applyAlignment="1">
      <alignment horizontal="center" vertical="top" wrapText="1"/>
    </xf>
    <xf numFmtId="0" fontId="37" fillId="6" borderId="1" xfId="0" applyNumberFormat="1" applyFont="1" applyFill="1" applyBorder="1" applyAlignment="1">
      <alignment vertical="top" wrapText="1"/>
    </xf>
    <xf numFmtId="41" fontId="37" fillId="0" borderId="0" xfId="0" applyNumberFormat="1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8" fillId="6" borderId="11" xfId="0" applyFont="1" applyFill="1" applyBorder="1" applyAlignment="1">
      <alignment horizontal="center" vertical="top" wrapText="1"/>
    </xf>
    <xf numFmtId="41" fontId="37" fillId="0" borderId="1" xfId="0" applyNumberFormat="1" applyFont="1" applyBorder="1" applyAlignment="1">
      <alignment horizontal="left" vertical="top" wrapText="1"/>
    </xf>
    <xf numFmtId="43" fontId="37" fillId="0" borderId="1" xfId="0" applyNumberFormat="1" applyFont="1" applyBorder="1" applyAlignment="1">
      <alignment horizontal="left" vertical="top" wrapText="1"/>
    </xf>
    <xf numFmtId="43" fontId="37" fillId="0" borderId="1" xfId="1" applyFont="1" applyBorder="1" applyAlignment="1">
      <alignment horizontal="left" vertical="top" wrapText="1"/>
    </xf>
    <xf numFmtId="41" fontId="37" fillId="0" borderId="18" xfId="0" applyNumberFormat="1" applyFont="1" applyBorder="1" applyAlignment="1">
      <alignment horizontal="left" vertical="top"/>
    </xf>
    <xf numFmtId="41" fontId="37" fillId="0" borderId="19" xfId="0" applyNumberFormat="1" applyFont="1" applyBorder="1" applyAlignment="1">
      <alignment horizontal="left" vertical="top"/>
    </xf>
    <xf numFmtId="43" fontId="37" fillId="0" borderId="18" xfId="0" applyNumberFormat="1" applyFont="1" applyBorder="1" applyAlignment="1">
      <alignment horizontal="left" vertical="top"/>
    </xf>
    <xf numFmtId="43" fontId="37" fillId="0" borderId="18" xfId="1" applyFont="1" applyBorder="1" applyAlignment="1">
      <alignment horizontal="left" vertical="top"/>
    </xf>
    <xf numFmtId="43" fontId="37" fillId="0" borderId="18" xfId="1" applyNumberFormat="1" applyFont="1" applyBorder="1" applyAlignment="1">
      <alignment horizontal="left" vertical="top"/>
    </xf>
    <xf numFmtId="2" fontId="37" fillId="0" borderId="18" xfId="1" applyNumberFormat="1" applyFont="1" applyBorder="1" applyAlignment="1">
      <alignment horizontal="center" vertical="top"/>
    </xf>
    <xf numFmtId="41" fontId="37" fillId="0" borderId="0" xfId="0" applyNumberFormat="1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1" fontId="37" fillId="0" borderId="15" xfId="0" applyNumberFormat="1" applyFont="1" applyBorder="1" applyAlignment="1">
      <alignment horizontal="center" vertical="top" wrapText="1"/>
    </xf>
    <xf numFmtId="0" fontId="37" fillId="0" borderId="46" xfId="0" applyNumberFormat="1" applyFont="1" applyBorder="1" applyAlignment="1">
      <alignment horizontal="left" vertical="top" wrapText="1"/>
    </xf>
    <xf numFmtId="0" fontId="37" fillId="0" borderId="47" xfId="0" applyNumberFormat="1" applyFont="1" applyBorder="1" applyAlignment="1">
      <alignment horizontal="left" vertical="top" wrapText="1"/>
    </xf>
    <xf numFmtId="41" fontId="37" fillId="0" borderId="13" xfId="0" applyNumberFormat="1" applyFont="1" applyBorder="1" applyAlignment="1">
      <alignment horizontal="left" vertical="top"/>
    </xf>
    <xf numFmtId="41" fontId="37" fillId="0" borderId="56" xfId="0" applyNumberFormat="1" applyFont="1" applyBorder="1" applyAlignment="1">
      <alignment horizontal="left" vertical="top"/>
    </xf>
    <xf numFmtId="43" fontId="37" fillId="0" borderId="13" xfId="0" applyNumberFormat="1" applyFont="1" applyBorder="1" applyAlignment="1">
      <alignment horizontal="left" vertical="top"/>
    </xf>
    <xf numFmtId="43" fontId="37" fillId="0" borderId="13" xfId="1" applyFont="1" applyBorder="1" applyAlignment="1">
      <alignment horizontal="left" vertical="top"/>
    </xf>
    <xf numFmtId="2" fontId="37" fillId="0" borderId="13" xfId="1" applyNumberFormat="1" applyFont="1" applyBorder="1" applyAlignment="1">
      <alignment horizontal="center" vertical="top"/>
    </xf>
    <xf numFmtId="0" fontId="37" fillId="0" borderId="13" xfId="0" applyNumberFormat="1" applyFont="1" applyBorder="1" applyAlignment="1">
      <alignment vertical="top" wrapText="1"/>
    </xf>
    <xf numFmtId="0" fontId="37" fillId="0" borderId="30" xfId="0" applyNumberFormat="1" applyFont="1" applyBorder="1" applyAlignment="1">
      <alignment horizontal="left" vertical="top" wrapText="1"/>
    </xf>
    <xf numFmtId="0" fontId="37" fillId="0" borderId="31" xfId="0" applyNumberFormat="1" applyFont="1" applyBorder="1" applyAlignment="1">
      <alignment horizontal="left" vertical="top" wrapText="1"/>
    </xf>
    <xf numFmtId="41" fontId="37" fillId="0" borderId="16" xfId="0" applyNumberFormat="1" applyFont="1" applyBorder="1" applyAlignment="1">
      <alignment horizontal="left" vertical="top"/>
    </xf>
    <xf numFmtId="43" fontId="37" fillId="0" borderId="16" xfId="0" applyNumberFormat="1" applyFont="1" applyBorder="1" applyAlignment="1">
      <alignment horizontal="left" vertical="top"/>
    </xf>
    <xf numFmtId="2" fontId="37" fillId="0" borderId="16" xfId="1" applyNumberFormat="1" applyFont="1" applyBorder="1" applyAlignment="1">
      <alignment horizontal="center" vertical="top"/>
    </xf>
    <xf numFmtId="1" fontId="37" fillId="0" borderId="17" xfId="0" applyNumberFormat="1" applyFont="1" applyBorder="1" applyAlignment="1">
      <alignment horizontal="center" vertical="top"/>
    </xf>
    <xf numFmtId="43" fontId="37" fillId="0" borderId="16" xfId="0" applyNumberFormat="1" applyFont="1" applyBorder="1" applyAlignment="1">
      <alignment horizontal="left" vertical="top" wrapText="1"/>
    </xf>
    <xf numFmtId="43" fontId="37" fillId="0" borderId="16" xfId="1" applyFont="1" applyBorder="1" applyAlignment="1">
      <alignment horizontal="left" vertical="top" wrapText="1"/>
    </xf>
    <xf numFmtId="2" fontId="37" fillId="0" borderId="16" xfId="0" applyNumberFormat="1" applyFont="1" applyBorder="1" applyAlignment="1">
      <alignment horizontal="center" vertical="top" wrapText="1"/>
    </xf>
    <xf numFmtId="41" fontId="37" fillId="0" borderId="16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top"/>
    </xf>
    <xf numFmtId="41" fontId="37" fillId="0" borderId="5" xfId="0" applyNumberFormat="1" applyFont="1" applyBorder="1" applyAlignment="1">
      <alignment horizontal="left" vertical="top"/>
    </xf>
    <xf numFmtId="41" fontId="37" fillId="0" borderId="5" xfId="0" applyNumberFormat="1" applyFont="1" applyBorder="1" applyAlignment="1">
      <alignment horizontal="left" vertical="top" wrapText="1"/>
    </xf>
    <xf numFmtId="41" fontId="37" fillId="0" borderId="5" xfId="0" applyNumberFormat="1" applyFont="1" applyBorder="1" applyAlignment="1">
      <alignment horizontal="center" vertical="top" wrapText="1"/>
    </xf>
    <xf numFmtId="41" fontId="37" fillId="0" borderId="5" xfId="0" applyNumberFormat="1" applyFont="1" applyBorder="1" applyAlignment="1">
      <alignment horizontal="center" vertical="center" wrapText="1"/>
    </xf>
    <xf numFmtId="43" fontId="37" fillId="0" borderId="5" xfId="0" applyNumberFormat="1" applyFont="1" applyBorder="1" applyAlignment="1">
      <alignment horizontal="left" vertical="top" wrapText="1"/>
    </xf>
    <xf numFmtId="43" fontId="37" fillId="0" borderId="13" xfId="0" applyNumberFormat="1" applyFont="1" applyBorder="1" applyAlignment="1">
      <alignment horizontal="left" vertical="top" wrapText="1"/>
    </xf>
    <xf numFmtId="43" fontId="37" fillId="0" borderId="5" xfId="1" applyFont="1" applyBorder="1" applyAlignment="1">
      <alignment horizontal="left" vertical="top" wrapText="1"/>
    </xf>
    <xf numFmtId="2" fontId="37" fillId="0" borderId="5" xfId="0" applyNumberFormat="1" applyFont="1" applyBorder="1" applyAlignment="1">
      <alignment horizontal="center" vertical="top" wrapText="1"/>
    </xf>
    <xf numFmtId="1" fontId="37" fillId="0" borderId="21" xfId="0" applyNumberFormat="1" applyFont="1" applyBorder="1" applyAlignment="1">
      <alignment horizontal="center" vertical="top"/>
    </xf>
    <xf numFmtId="1" fontId="37" fillId="0" borderId="15" xfId="0" applyNumberFormat="1" applyFont="1" applyBorder="1" applyAlignment="1">
      <alignment horizontal="center" vertical="top"/>
    </xf>
    <xf numFmtId="43" fontId="37" fillId="0" borderId="13" xfId="1" applyNumberFormat="1" applyFont="1" applyBorder="1" applyAlignment="1">
      <alignment horizontal="left" vertical="top"/>
    </xf>
    <xf numFmtId="2" fontId="37" fillId="0" borderId="13" xfId="0" applyNumberFormat="1" applyFont="1" applyBorder="1" applyAlignment="1">
      <alignment horizontal="center" vertical="top"/>
    </xf>
    <xf numFmtId="41" fontId="37" fillId="0" borderId="13" xfId="0" applyNumberFormat="1" applyFont="1" applyBorder="1" applyAlignment="1">
      <alignment horizontal="left" vertical="top" wrapText="1"/>
    </xf>
    <xf numFmtId="43" fontId="37" fillId="0" borderId="13" xfId="1" applyNumberFormat="1" applyFont="1" applyBorder="1" applyAlignment="1">
      <alignment horizontal="left" vertical="top" wrapText="1"/>
    </xf>
    <xf numFmtId="43" fontId="37" fillId="0" borderId="13" xfId="1" applyFont="1" applyBorder="1" applyAlignment="1">
      <alignment horizontal="left" vertical="top" wrapText="1"/>
    </xf>
    <xf numFmtId="2" fontId="37" fillId="0" borderId="13" xfId="0" applyNumberFormat="1" applyFont="1" applyBorder="1" applyAlignment="1">
      <alignment horizontal="center" vertical="top" wrapText="1"/>
    </xf>
    <xf numFmtId="43" fontId="37" fillId="0" borderId="16" xfId="1" applyNumberFormat="1" applyFont="1" applyBorder="1" applyAlignment="1">
      <alignment horizontal="left" vertical="top" wrapText="1"/>
    </xf>
    <xf numFmtId="1" fontId="37" fillId="0" borderId="54" xfId="0" applyNumberFormat="1" applyFont="1" applyBorder="1" applyAlignment="1">
      <alignment horizontal="center" vertical="top"/>
    </xf>
    <xf numFmtId="41" fontId="37" fillId="0" borderId="51" xfId="0" applyNumberFormat="1" applyFont="1" applyBorder="1" applyAlignment="1">
      <alignment horizontal="left" vertical="top"/>
    </xf>
    <xf numFmtId="41" fontId="37" fillId="0" borderId="51" xfId="0" applyNumberFormat="1" applyFont="1" applyBorder="1" applyAlignment="1">
      <alignment horizontal="left" vertical="top" wrapText="1"/>
    </xf>
    <xf numFmtId="41" fontId="37" fillId="0" borderId="51" xfId="0" applyNumberFormat="1" applyFont="1" applyBorder="1" applyAlignment="1">
      <alignment horizontal="center" vertical="top" wrapText="1"/>
    </xf>
    <xf numFmtId="43" fontId="37" fillId="0" borderId="51" xfId="0" applyNumberFormat="1" applyFont="1" applyBorder="1" applyAlignment="1">
      <alignment horizontal="left" vertical="top" wrapText="1"/>
    </xf>
    <xf numFmtId="43" fontId="37" fillId="0" borderId="51" xfId="1" applyNumberFormat="1" applyFont="1" applyBorder="1" applyAlignment="1">
      <alignment horizontal="left" vertical="top" wrapText="1"/>
    </xf>
    <xf numFmtId="43" fontId="37" fillId="0" borderId="51" xfId="1" applyFont="1" applyBorder="1" applyAlignment="1">
      <alignment horizontal="left" vertical="top" wrapText="1"/>
    </xf>
    <xf numFmtId="2" fontId="37" fillId="0" borderId="51" xfId="0" applyNumberFormat="1" applyFont="1" applyBorder="1" applyAlignment="1">
      <alignment horizontal="center" vertical="top" wrapText="1"/>
    </xf>
    <xf numFmtId="0" fontId="37" fillId="0" borderId="51" xfId="0" applyNumberFormat="1" applyFont="1" applyBorder="1" applyAlignment="1">
      <alignment vertical="top" wrapText="1"/>
    </xf>
    <xf numFmtId="41" fontId="37" fillId="0" borderId="13" xfId="0" applyNumberFormat="1" applyFont="1" applyBorder="1" applyAlignment="1">
      <alignment horizontal="center" vertical="center" wrapText="1"/>
    </xf>
    <xf numFmtId="1" fontId="37" fillId="0" borderId="48" xfId="0" applyNumberFormat="1" applyFont="1" applyBorder="1" applyAlignment="1">
      <alignment horizontal="center" vertical="top"/>
    </xf>
    <xf numFmtId="41" fontId="37" fillId="0" borderId="14" xfId="0" applyNumberFormat="1" applyFont="1" applyBorder="1" applyAlignment="1">
      <alignment horizontal="center" vertical="center" wrapText="1"/>
    </xf>
    <xf numFmtId="41" fontId="37" fillId="0" borderId="42" xfId="0" applyNumberFormat="1" applyFont="1" applyBorder="1" applyAlignment="1">
      <alignment horizontal="center" vertical="center" wrapText="1"/>
    </xf>
    <xf numFmtId="41" fontId="37" fillId="0" borderId="56" xfId="0" applyNumberFormat="1" applyFont="1" applyBorder="1" applyAlignment="1">
      <alignment horizontal="center" vertical="center" wrapText="1"/>
    </xf>
    <xf numFmtId="43" fontId="37" fillId="0" borderId="14" xfId="0" applyNumberFormat="1" applyFont="1" applyBorder="1" applyAlignment="1">
      <alignment horizontal="left" vertical="top" wrapText="1"/>
    </xf>
    <xf numFmtId="1" fontId="38" fillId="6" borderId="11" xfId="0" applyNumberFormat="1" applyFont="1" applyFill="1" applyBorder="1" applyAlignment="1">
      <alignment horizontal="center" vertical="top"/>
    </xf>
    <xf numFmtId="41" fontId="38" fillId="6" borderId="1" xfId="0" applyNumberFormat="1" applyFont="1" applyFill="1" applyBorder="1" applyAlignment="1">
      <alignment horizontal="left" vertical="top"/>
    </xf>
    <xf numFmtId="43" fontId="38" fillId="6" borderId="1" xfId="0" applyNumberFormat="1" applyFont="1" applyFill="1" applyBorder="1" applyAlignment="1">
      <alignment horizontal="left" vertical="top"/>
    </xf>
    <xf numFmtId="43" fontId="37" fillId="6" borderId="1" xfId="0" applyNumberFormat="1" applyFont="1" applyFill="1" applyBorder="1" applyAlignment="1">
      <alignment horizontal="left" vertical="top" wrapText="1"/>
    </xf>
    <xf numFmtId="2" fontId="38" fillId="6" borderId="1" xfId="0" applyNumberFormat="1" applyFont="1" applyFill="1" applyBorder="1" applyAlignment="1">
      <alignment horizontal="center" vertical="top"/>
    </xf>
    <xf numFmtId="0" fontId="38" fillId="6" borderId="1" xfId="0" applyNumberFormat="1" applyFont="1" applyFill="1" applyBorder="1" applyAlignment="1">
      <alignment vertical="top" wrapText="1"/>
    </xf>
    <xf numFmtId="41" fontId="38" fillId="0" borderId="0" xfId="0" applyNumberFormat="1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2" fontId="37" fillId="0" borderId="1" xfId="0" applyNumberFormat="1" applyFont="1" applyBorder="1" applyAlignment="1">
      <alignment horizontal="center" vertical="top" wrapText="1"/>
    </xf>
    <xf numFmtId="1" fontId="38" fillId="6" borderId="4" xfId="0" applyNumberFormat="1" applyFont="1" applyFill="1" applyBorder="1" applyAlignment="1">
      <alignment horizontal="center" vertical="top" wrapText="1"/>
    </xf>
    <xf numFmtId="41" fontId="38" fillId="0" borderId="0" xfId="0" applyNumberFormat="1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6" borderId="4" xfId="0" applyFont="1" applyFill="1" applyBorder="1" applyAlignment="1">
      <alignment horizontal="center" vertical="top" wrapText="1"/>
    </xf>
    <xf numFmtId="41" fontId="38" fillId="6" borderId="2" xfId="0" applyNumberFormat="1" applyFont="1" applyFill="1" applyBorder="1" applyAlignment="1">
      <alignment horizontal="left" vertical="top" wrapText="1"/>
    </xf>
    <xf numFmtId="43" fontId="38" fillId="6" borderId="2" xfId="0" applyNumberFormat="1" applyFont="1" applyFill="1" applyBorder="1" applyAlignment="1">
      <alignment horizontal="left" vertical="top" wrapText="1"/>
    </xf>
    <xf numFmtId="43" fontId="38" fillId="6" borderId="2" xfId="1" applyFont="1" applyFill="1" applyBorder="1" applyAlignment="1">
      <alignment horizontal="left" vertical="top" wrapText="1"/>
    </xf>
    <xf numFmtId="2" fontId="38" fillId="6" borderId="2" xfId="1" applyNumberFormat="1" applyFont="1" applyFill="1" applyBorder="1" applyAlignment="1">
      <alignment horizontal="center" vertical="top" wrapText="1"/>
    </xf>
    <xf numFmtId="41" fontId="38" fillId="5" borderId="5" xfId="0" applyNumberFormat="1" applyFont="1" applyFill="1" applyBorder="1" applyAlignment="1">
      <alignment horizontal="center" vertical="center" wrapText="1"/>
    </xf>
    <xf numFmtId="43" fontId="38" fillId="5" borderId="5" xfId="0" applyNumberFormat="1" applyFont="1" applyFill="1" applyBorder="1" applyAlignment="1">
      <alignment horizontal="center" vertical="center" wrapText="1"/>
    </xf>
    <xf numFmtId="43" fontId="37" fillId="5" borderId="13" xfId="0" applyNumberFormat="1" applyFont="1" applyFill="1" applyBorder="1" applyAlignment="1">
      <alignment horizontal="left" vertical="top" wrapText="1"/>
    </xf>
    <xf numFmtId="2" fontId="38" fillId="5" borderId="5" xfId="1" applyNumberFormat="1" applyFont="1" applyFill="1" applyBorder="1" applyAlignment="1">
      <alignment horizontal="center" vertical="center" wrapText="1"/>
    </xf>
    <xf numFmtId="0" fontId="38" fillId="5" borderId="5" xfId="0" applyNumberFormat="1" applyFont="1" applyFill="1" applyBorder="1" applyAlignment="1">
      <alignment vertical="center" wrapText="1"/>
    </xf>
    <xf numFmtId="41" fontId="37" fillId="4" borderId="1" xfId="0" applyNumberFormat="1" applyFont="1" applyFill="1" applyBorder="1" applyAlignment="1">
      <alignment horizontal="left" vertical="top" wrapText="1"/>
    </xf>
    <xf numFmtId="41" fontId="38" fillId="4" borderId="1" xfId="0" applyNumberFormat="1" applyFont="1" applyFill="1" applyBorder="1" applyAlignment="1">
      <alignment wrapText="1"/>
    </xf>
    <xf numFmtId="43" fontId="38" fillId="4" borderId="1" xfId="0" applyNumberFormat="1" applyFont="1" applyFill="1" applyBorder="1" applyAlignment="1">
      <alignment wrapText="1"/>
    </xf>
    <xf numFmtId="2" fontId="38" fillId="4" borderId="1" xfId="1" applyNumberFormat="1" applyFont="1" applyFill="1" applyBorder="1" applyAlignment="1">
      <alignment horizontal="center" wrapText="1"/>
    </xf>
    <xf numFmtId="0" fontId="38" fillId="4" borderId="1" xfId="0" applyNumberFormat="1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1" fontId="37" fillId="4" borderId="4" xfId="0" applyNumberFormat="1" applyFont="1" applyFill="1" applyBorder="1" applyAlignment="1">
      <alignment horizontal="center" vertical="top" wrapText="1"/>
    </xf>
    <xf numFmtId="41" fontId="38" fillId="4" borderId="1" xfId="0" applyNumberFormat="1" applyFont="1" applyFill="1" applyBorder="1" applyAlignment="1">
      <alignment horizontal="center" vertical="top" wrapText="1"/>
    </xf>
    <xf numFmtId="43" fontId="38" fillId="4" borderId="1" xfId="0" applyNumberFormat="1" applyFont="1" applyFill="1" applyBorder="1" applyAlignment="1">
      <alignment horizontal="center" vertical="top" wrapText="1"/>
    </xf>
    <xf numFmtId="43" fontId="37" fillId="4" borderId="1" xfId="0" applyNumberFormat="1" applyFont="1" applyFill="1" applyBorder="1" applyAlignment="1">
      <alignment horizontal="left" vertical="top" wrapText="1"/>
    </xf>
    <xf numFmtId="2" fontId="38" fillId="4" borderId="1" xfId="0" applyNumberFormat="1" applyFont="1" applyFill="1" applyBorder="1" applyAlignment="1">
      <alignment horizontal="center" vertical="top" wrapText="1"/>
    </xf>
    <xf numFmtId="0" fontId="37" fillId="4" borderId="2" xfId="0" applyNumberFormat="1" applyFont="1" applyFill="1" applyBorder="1" applyAlignment="1">
      <alignment vertical="top" wrapText="1"/>
    </xf>
    <xf numFmtId="41" fontId="37" fillId="0" borderId="2" xfId="0" applyNumberFormat="1" applyFont="1" applyBorder="1" applyAlignment="1">
      <alignment horizontal="left" vertical="top" wrapText="1"/>
    </xf>
    <xf numFmtId="43" fontId="37" fillId="0" borderId="2" xfId="0" applyNumberFormat="1" applyFont="1" applyBorder="1" applyAlignment="1">
      <alignment horizontal="left" vertical="top" wrapText="1"/>
    </xf>
    <xf numFmtId="43" fontId="37" fillId="0" borderId="2" xfId="1" applyFont="1" applyBorder="1" applyAlignment="1">
      <alignment horizontal="left" vertical="top" wrapText="1"/>
    </xf>
    <xf numFmtId="2" fontId="37" fillId="0" borderId="2" xfId="0" applyNumberFormat="1" applyFont="1" applyBorder="1" applyAlignment="1">
      <alignment horizontal="center" vertical="top" wrapText="1"/>
    </xf>
    <xf numFmtId="1" fontId="38" fillId="4" borderId="9" xfId="0" applyNumberFormat="1" applyFont="1" applyFill="1" applyBorder="1" applyAlignment="1">
      <alignment horizontal="center" vertical="top" wrapText="1"/>
    </xf>
    <xf numFmtId="41" fontId="38" fillId="4" borderId="1" xfId="0" applyNumberFormat="1" applyFont="1" applyFill="1" applyBorder="1" applyAlignment="1">
      <alignment vertical="top" wrapText="1"/>
    </xf>
    <xf numFmtId="43" fontId="38" fillId="4" borderId="1" xfId="0" applyNumberFormat="1" applyFont="1" applyFill="1" applyBorder="1" applyAlignment="1">
      <alignment vertical="top" wrapText="1"/>
    </xf>
    <xf numFmtId="2" fontId="38" fillId="4" borderId="1" xfId="1" applyNumberFormat="1" applyFont="1" applyFill="1" applyBorder="1" applyAlignment="1">
      <alignment horizontal="center" vertical="top" wrapText="1"/>
    </xf>
    <xf numFmtId="0" fontId="38" fillId="4" borderId="2" xfId="0" applyNumberFormat="1" applyFont="1" applyFill="1" applyBorder="1" applyAlignment="1">
      <alignment vertical="top" wrapText="1"/>
    </xf>
    <xf numFmtId="41" fontId="37" fillId="0" borderId="7" xfId="1" applyNumberFormat="1" applyFont="1" applyFill="1" applyBorder="1" applyAlignment="1">
      <alignment horizontal="center" vertical="top" wrapText="1"/>
    </xf>
    <xf numFmtId="43" fontId="37" fillId="0" borderId="7" xfId="1" applyNumberFormat="1" applyFont="1" applyFill="1" applyBorder="1" applyAlignment="1">
      <alignment horizontal="center" vertical="top" wrapText="1"/>
    </xf>
    <xf numFmtId="43" fontId="37" fillId="0" borderId="7" xfId="1" applyFont="1" applyFill="1" applyBorder="1" applyAlignment="1">
      <alignment horizontal="center" vertical="top" wrapText="1"/>
    </xf>
    <xf numFmtId="2" fontId="37" fillId="0" borderId="7" xfId="1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vertical="top" wrapText="1"/>
    </xf>
    <xf numFmtId="0" fontId="37" fillId="0" borderId="7" xfId="0" applyFont="1" applyFill="1" applyBorder="1" applyAlignment="1">
      <alignment vertical="top" wrapText="1"/>
    </xf>
    <xf numFmtId="41" fontId="38" fillId="18" borderId="1" xfId="0" applyNumberFormat="1" applyFont="1" applyFill="1" applyBorder="1" applyAlignment="1">
      <alignment horizontal="left" vertical="top" wrapText="1"/>
    </xf>
    <xf numFmtId="43" fontId="38" fillId="18" borderId="1" xfId="0" applyNumberFormat="1" applyFont="1" applyFill="1" applyBorder="1" applyAlignment="1">
      <alignment horizontal="left" vertical="top" wrapText="1"/>
    </xf>
    <xf numFmtId="2" fontId="38" fillId="18" borderId="1" xfId="0" applyNumberFormat="1" applyFont="1" applyFill="1" applyBorder="1" applyAlignment="1">
      <alignment horizontal="center" vertical="top" wrapText="1"/>
    </xf>
    <xf numFmtId="0" fontId="38" fillId="18" borderId="2" xfId="0" applyFont="1" applyFill="1" applyBorder="1" applyAlignment="1">
      <alignment vertical="top" wrapText="1"/>
    </xf>
    <xf numFmtId="2" fontId="38" fillId="9" borderId="1" xfId="0" applyNumberFormat="1" applyFont="1" applyFill="1" applyBorder="1" applyAlignment="1">
      <alignment horizontal="center" vertical="top"/>
    </xf>
    <xf numFmtId="0" fontId="38" fillId="9" borderId="1" xfId="0" applyNumberFormat="1" applyFont="1" applyFill="1" applyBorder="1" applyAlignment="1">
      <alignment horizontal="left" vertical="top"/>
    </xf>
    <xf numFmtId="43" fontId="38" fillId="24" borderId="1" xfId="0" applyNumberFormat="1" applyFont="1" applyFill="1" applyBorder="1" applyAlignment="1">
      <alignment horizontal="left" vertical="top"/>
    </xf>
    <xf numFmtId="2" fontId="38" fillId="8" borderId="1" xfId="0" applyNumberFormat="1" applyFont="1" applyFill="1" applyBorder="1" applyAlignment="1">
      <alignment horizontal="center" vertical="top"/>
    </xf>
    <xf numFmtId="0" fontId="37" fillId="8" borderId="1" xfId="0" applyNumberFormat="1" applyFont="1" applyFill="1" applyBorder="1" applyAlignment="1">
      <alignment horizontal="left"/>
    </xf>
    <xf numFmtId="43" fontId="37" fillId="10" borderId="1" xfId="0" applyNumberFormat="1" applyFont="1" applyFill="1" applyBorder="1" applyAlignment="1">
      <alignment horizontal="left" vertical="top"/>
    </xf>
    <xf numFmtId="43" fontId="38" fillId="10" borderId="1" xfId="0" applyNumberFormat="1" applyFont="1" applyFill="1" applyBorder="1" applyAlignment="1">
      <alignment horizontal="left" vertical="top"/>
    </xf>
    <xf numFmtId="41" fontId="37" fillId="0" borderId="1" xfId="0" quotePrefix="1" applyNumberFormat="1" applyFont="1" applyBorder="1" applyAlignment="1">
      <alignment horizontal="right" vertical="top" wrapText="1"/>
    </xf>
    <xf numFmtId="41" fontId="38" fillId="3" borderId="1" xfId="0" applyNumberFormat="1" applyFont="1" applyFill="1" applyBorder="1" applyAlignment="1">
      <alignment vertical="top" wrapText="1"/>
    </xf>
    <xf numFmtId="43" fontId="38" fillId="3" borderId="1" xfId="0" applyNumberFormat="1" applyFont="1" applyFill="1" applyBorder="1" applyAlignment="1">
      <alignment vertical="top" wrapText="1"/>
    </xf>
    <xf numFmtId="43" fontId="38" fillId="3" borderId="1" xfId="1" applyFont="1" applyFill="1" applyBorder="1" applyAlignment="1">
      <alignment vertical="top" wrapText="1"/>
    </xf>
    <xf numFmtId="43" fontId="38" fillId="23" borderId="1" xfId="0" applyNumberFormat="1" applyFont="1" applyFill="1" applyBorder="1" applyAlignment="1">
      <alignment horizontal="left" vertical="top" wrapText="1"/>
    </xf>
    <xf numFmtId="2" fontId="38" fillId="3" borderId="1" xfId="1" applyNumberFormat="1" applyFont="1" applyFill="1" applyBorder="1" applyAlignment="1">
      <alignment horizontal="center" vertical="top" wrapText="1"/>
    </xf>
    <xf numFmtId="41" fontId="38" fillId="3" borderId="1" xfId="0" applyNumberFormat="1" applyFont="1" applyFill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NumberFormat="1" applyFont="1" applyBorder="1" applyAlignment="1">
      <alignment horizontal="center" vertical="top" wrapText="1"/>
    </xf>
    <xf numFmtId="43" fontId="37" fillId="0" borderId="0" xfId="0" applyNumberFormat="1" applyFont="1" applyBorder="1" applyAlignment="1">
      <alignment wrapText="1"/>
    </xf>
    <xf numFmtId="43" fontId="37" fillId="0" borderId="0" xfId="1" applyNumberFormat="1" applyFont="1" applyBorder="1" applyAlignment="1">
      <alignment wrapText="1"/>
    </xf>
    <xf numFmtId="43" fontId="37" fillId="0" borderId="0" xfId="1" applyFont="1" applyBorder="1" applyAlignment="1">
      <alignment wrapText="1"/>
    </xf>
    <xf numFmtId="2" fontId="37" fillId="0" borderId="0" xfId="0" applyNumberFormat="1" applyFont="1" applyBorder="1" applyAlignment="1">
      <alignment horizontal="center" wrapText="1"/>
    </xf>
    <xf numFmtId="41" fontId="18" fillId="2" borderId="1" xfId="0" applyNumberFormat="1" applyFont="1" applyFill="1" applyBorder="1" applyAlignment="1">
      <alignment horizontal="center" vertical="center"/>
    </xf>
    <xf numFmtId="41" fontId="18" fillId="9" borderId="1" xfId="0" applyNumberFormat="1" applyFont="1" applyFill="1" applyBorder="1" applyAlignment="1">
      <alignment horizontal="left" vertical="top"/>
    </xf>
    <xf numFmtId="41" fontId="18" fillId="8" borderId="1" xfId="0" applyNumberFormat="1" applyFont="1" applyFill="1" applyBorder="1" applyAlignment="1">
      <alignment vertical="top"/>
    </xf>
    <xf numFmtId="41" fontId="20" fillId="0" borderId="1" xfId="0" applyNumberFormat="1" applyFont="1" applyBorder="1" applyAlignment="1">
      <alignment horizontal="center" vertical="top"/>
    </xf>
    <xf numFmtId="41" fontId="20" fillId="0" borderId="1" xfId="0" applyNumberFormat="1" applyFont="1" applyBorder="1" applyAlignment="1">
      <alignment horizontal="center" vertical="top" wrapText="1"/>
    </xf>
    <xf numFmtId="41" fontId="18" fillId="8" borderId="7" xfId="0" applyNumberFormat="1" applyFont="1" applyFill="1" applyBorder="1" applyAlignment="1">
      <alignment vertical="top"/>
    </xf>
    <xf numFmtId="41" fontId="20" fillId="0" borderId="5" xfId="0" applyNumberFormat="1" applyFont="1" applyBorder="1" applyAlignment="1">
      <alignment horizontal="center" vertical="top"/>
    </xf>
    <xf numFmtId="41" fontId="18" fillId="8" borderId="1" xfId="0" applyNumberFormat="1" applyFont="1" applyFill="1" applyBorder="1" applyAlignment="1">
      <alignment horizontal="center" vertical="top" wrapText="1"/>
    </xf>
    <xf numFmtId="41" fontId="20" fillId="0" borderId="1" xfId="1" applyNumberFormat="1" applyFont="1" applyBorder="1" applyAlignment="1">
      <alignment horizontal="center" vertical="top" wrapText="1"/>
    </xf>
    <xf numFmtId="41" fontId="20" fillId="0" borderId="5" xfId="1" applyNumberFormat="1" applyFont="1" applyBorder="1" applyAlignment="1">
      <alignment horizontal="center" vertical="top" wrapText="1"/>
    </xf>
    <xf numFmtId="41" fontId="20" fillId="0" borderId="1" xfId="1" applyNumberFormat="1" applyFont="1" applyFill="1" applyBorder="1" applyAlignment="1">
      <alignment horizontal="center" vertical="top" wrapText="1"/>
    </xf>
    <xf numFmtId="41" fontId="18" fillId="8" borderId="5" xfId="1" applyNumberFormat="1" applyFont="1" applyFill="1" applyBorder="1" applyAlignment="1">
      <alignment horizontal="center" vertical="top" wrapText="1"/>
    </xf>
    <xf numFmtId="41" fontId="20" fillId="0" borderId="18" xfId="1" applyNumberFormat="1" applyFont="1" applyFill="1" applyBorder="1" applyAlignment="1">
      <alignment horizontal="center" vertical="top" wrapText="1"/>
    </xf>
    <xf numFmtId="41" fontId="20" fillId="0" borderId="16" xfId="1" applyNumberFormat="1" applyFont="1" applyFill="1" applyBorder="1" applyAlignment="1">
      <alignment horizontal="center" vertical="top" wrapText="1"/>
    </xf>
    <xf numFmtId="41" fontId="18" fillId="8" borderId="1" xfId="1" applyNumberFormat="1" applyFont="1" applyFill="1" applyBorder="1" applyAlignment="1">
      <alignment horizontal="center" vertical="top" wrapText="1"/>
    </xf>
    <xf numFmtId="41" fontId="20" fillId="0" borderId="2" xfId="1" applyNumberFormat="1" applyFont="1" applyFill="1" applyBorder="1" applyAlignment="1">
      <alignment horizontal="center" vertical="top" wrapText="1"/>
    </xf>
    <xf numFmtId="41" fontId="18" fillId="7" borderId="1" xfId="0" applyNumberFormat="1" applyFont="1" applyFill="1" applyBorder="1" applyAlignment="1">
      <alignment horizontal="center" vertical="center" wrapText="1"/>
    </xf>
    <xf numFmtId="41" fontId="18" fillId="6" borderId="1" xfId="0" applyNumberFormat="1" applyFont="1" applyFill="1" applyBorder="1" applyAlignment="1">
      <alignment horizontal="left" vertical="top" wrapText="1"/>
    </xf>
    <xf numFmtId="41" fontId="20" fillId="0" borderId="1" xfId="0" applyNumberFormat="1" applyFont="1" applyBorder="1" applyAlignment="1">
      <alignment horizontal="left" vertical="top" wrapText="1"/>
    </xf>
    <xf numFmtId="41" fontId="20" fillId="0" borderId="18" xfId="0" applyNumberFormat="1" applyFont="1" applyBorder="1" applyAlignment="1">
      <alignment horizontal="left" vertical="top"/>
    </xf>
    <xf numFmtId="41" fontId="20" fillId="0" borderId="13" xfId="0" applyNumberFormat="1" applyFont="1" applyBorder="1" applyAlignment="1">
      <alignment horizontal="left" vertical="top"/>
    </xf>
    <xf numFmtId="41" fontId="20" fillId="0" borderId="16" xfId="0" applyNumberFormat="1" applyFont="1" applyBorder="1" applyAlignment="1">
      <alignment horizontal="left" vertical="top"/>
    </xf>
    <xf numFmtId="41" fontId="20" fillId="0" borderId="16" xfId="0" applyNumberFormat="1" applyFont="1" applyBorder="1" applyAlignment="1">
      <alignment horizontal="center" vertical="top" wrapText="1"/>
    </xf>
    <xf numFmtId="41" fontId="20" fillId="0" borderId="16" xfId="0" applyNumberFormat="1" applyFont="1" applyBorder="1" applyAlignment="1">
      <alignment horizontal="center" vertical="center" wrapText="1"/>
    </xf>
    <xf numFmtId="41" fontId="20" fillId="0" borderId="5" xfId="0" applyNumberFormat="1" applyFont="1" applyBorder="1" applyAlignment="1">
      <alignment horizontal="center" vertical="center" wrapText="1"/>
    </xf>
    <xf numFmtId="41" fontId="20" fillId="0" borderId="13" xfId="0" applyNumberFormat="1" applyFont="1" applyBorder="1" applyAlignment="1">
      <alignment horizontal="center" vertical="top" wrapText="1"/>
    </xf>
    <xf numFmtId="41" fontId="20" fillId="0" borderId="51" xfId="0" applyNumberFormat="1" applyFont="1" applyBorder="1" applyAlignment="1">
      <alignment horizontal="center" vertical="center" wrapText="1"/>
    </xf>
    <xf numFmtId="41" fontId="20" fillId="0" borderId="13" xfId="0" applyNumberFormat="1" applyFont="1" applyBorder="1" applyAlignment="1">
      <alignment horizontal="center" vertical="center" wrapText="1"/>
    </xf>
    <xf numFmtId="41" fontId="20" fillId="0" borderId="16" xfId="1" applyNumberFormat="1" applyFont="1" applyBorder="1" applyAlignment="1">
      <alignment horizontal="center" vertical="top" wrapText="1"/>
    </xf>
    <xf numFmtId="41" fontId="18" fillId="6" borderId="1" xfId="0" applyNumberFormat="1" applyFont="1" applyFill="1" applyBorder="1" applyAlignment="1">
      <alignment horizontal="left" vertical="top"/>
    </xf>
    <xf numFmtId="41" fontId="18" fillId="6" borderId="2" xfId="0" applyNumberFormat="1" applyFont="1" applyFill="1" applyBorder="1" applyAlignment="1">
      <alignment horizontal="left" vertical="top" wrapText="1"/>
    </xf>
    <xf numFmtId="41" fontId="18" fillId="5" borderId="5" xfId="0" applyNumberFormat="1" applyFont="1" applyFill="1" applyBorder="1" applyAlignment="1">
      <alignment horizontal="center" vertical="center" wrapText="1"/>
    </xf>
    <xf numFmtId="41" fontId="18" fillId="4" borderId="1" xfId="0" applyNumberFormat="1" applyFont="1" applyFill="1" applyBorder="1" applyAlignment="1">
      <alignment wrapText="1"/>
    </xf>
    <xf numFmtId="41" fontId="18" fillId="4" borderId="1" xfId="0" applyNumberFormat="1" applyFont="1" applyFill="1" applyBorder="1" applyAlignment="1">
      <alignment horizontal="center" vertical="top" wrapText="1"/>
    </xf>
    <xf numFmtId="41" fontId="20" fillId="0" borderId="2" xfId="0" applyNumberFormat="1" applyFont="1" applyBorder="1" applyAlignment="1">
      <alignment horizontal="left" vertical="top" wrapText="1"/>
    </xf>
    <xf numFmtId="41" fontId="18" fillId="4" borderId="1" xfId="0" applyNumberFormat="1" applyFont="1" applyFill="1" applyBorder="1" applyAlignment="1">
      <alignment vertical="top" wrapText="1"/>
    </xf>
    <xf numFmtId="41" fontId="20" fillId="0" borderId="7" xfId="1" applyNumberFormat="1" applyFont="1" applyFill="1" applyBorder="1" applyAlignment="1">
      <alignment horizontal="center" vertical="top" wrapText="1"/>
    </xf>
    <xf numFmtId="41" fontId="18" fillId="18" borderId="1" xfId="0" applyNumberFormat="1" applyFont="1" applyFill="1" applyBorder="1" applyAlignment="1">
      <alignment horizontal="left" vertical="top" wrapText="1"/>
    </xf>
    <xf numFmtId="41" fontId="18" fillId="3" borderId="1" xfId="0" applyNumberFormat="1" applyFont="1" applyFill="1" applyBorder="1" applyAlignment="1">
      <alignment vertical="top" wrapText="1"/>
    </xf>
    <xf numFmtId="41" fontId="40" fillId="2" borderId="1" xfId="0" applyNumberFormat="1" applyFont="1" applyFill="1" applyBorder="1" applyAlignment="1">
      <alignment horizontal="center" vertical="center"/>
    </xf>
    <xf numFmtId="41" fontId="40" fillId="9" borderId="1" xfId="0" applyNumberFormat="1" applyFont="1" applyFill="1" applyBorder="1" applyAlignment="1">
      <alignment horizontal="center" vertical="top"/>
    </xf>
    <xf numFmtId="41" fontId="40" fillId="8" borderId="1" xfId="0" applyNumberFormat="1" applyFont="1" applyFill="1" applyBorder="1" applyAlignment="1">
      <alignment horizontal="center" vertical="top"/>
    </xf>
    <xf numFmtId="41" fontId="40" fillId="8" borderId="7" xfId="0" applyNumberFormat="1" applyFont="1" applyFill="1" applyBorder="1" applyAlignment="1">
      <alignment horizontal="center" vertical="top"/>
    </xf>
    <xf numFmtId="41" fontId="40" fillId="8" borderId="1" xfId="0" applyNumberFormat="1" applyFont="1" applyFill="1" applyBorder="1" applyAlignment="1">
      <alignment horizontal="center" vertical="top" wrapText="1"/>
    </xf>
    <xf numFmtId="41" fontId="40" fillId="8" borderId="5" xfId="1" applyNumberFormat="1" applyFont="1" applyFill="1" applyBorder="1" applyAlignment="1">
      <alignment horizontal="center" vertical="top" wrapText="1"/>
    </xf>
    <xf numFmtId="41" fontId="41" fillId="0" borderId="18" xfId="1" applyNumberFormat="1" applyFont="1" applyFill="1" applyBorder="1" applyAlignment="1">
      <alignment horizontal="center" vertical="top" wrapText="1"/>
    </xf>
    <xf numFmtId="41" fontId="40" fillId="8" borderId="1" xfId="1" applyNumberFormat="1" applyFont="1" applyFill="1" applyBorder="1" applyAlignment="1">
      <alignment horizontal="center" vertical="top" wrapText="1"/>
    </xf>
    <xf numFmtId="41" fontId="40" fillId="7" borderId="1" xfId="0" applyNumberFormat="1" applyFont="1" applyFill="1" applyBorder="1" applyAlignment="1">
      <alignment horizontal="center" vertical="center" wrapText="1"/>
    </xf>
    <xf numFmtId="41" fontId="40" fillId="6" borderId="1" xfId="0" applyNumberFormat="1" applyFont="1" applyFill="1" applyBorder="1" applyAlignment="1">
      <alignment horizontal="center" vertical="top" wrapText="1"/>
    </xf>
    <xf numFmtId="41" fontId="41" fillId="0" borderId="19" xfId="0" applyNumberFormat="1" applyFont="1" applyBorder="1" applyAlignment="1">
      <alignment horizontal="center" vertical="top"/>
    </xf>
    <xf numFmtId="41" fontId="41" fillId="0" borderId="16" xfId="0" applyNumberFormat="1" applyFont="1" applyBorder="1" applyAlignment="1">
      <alignment horizontal="center" vertical="top"/>
    </xf>
    <xf numFmtId="41" fontId="41" fillId="0" borderId="18" xfId="0" applyNumberFormat="1" applyFont="1" applyBorder="1" applyAlignment="1">
      <alignment horizontal="center" vertical="top"/>
    </xf>
    <xf numFmtId="41" fontId="41" fillId="0" borderId="13" xfId="0" applyNumberFormat="1" applyFont="1" applyBorder="1" applyAlignment="1">
      <alignment horizontal="center" vertical="top"/>
    </xf>
    <xf numFmtId="0" fontId="41" fillId="0" borderId="57" xfId="0" applyFont="1" applyBorder="1" applyAlignment="1">
      <alignment horizontal="center" vertical="top"/>
    </xf>
    <xf numFmtId="41" fontId="40" fillId="6" borderId="1" xfId="0" applyNumberFormat="1" applyFont="1" applyFill="1" applyBorder="1" applyAlignment="1">
      <alignment horizontal="center" vertical="top"/>
    </xf>
    <xf numFmtId="41" fontId="40" fillId="6" borderId="2" xfId="0" applyNumberFormat="1" applyFont="1" applyFill="1" applyBorder="1" applyAlignment="1">
      <alignment horizontal="center" vertical="top" wrapText="1"/>
    </xf>
    <xf numFmtId="41" fontId="40" fillId="5" borderId="5" xfId="0" applyNumberFormat="1" applyFont="1" applyFill="1" applyBorder="1" applyAlignment="1">
      <alignment horizontal="center" vertical="center" wrapText="1"/>
    </xf>
    <xf numFmtId="41" fontId="40" fillId="4" borderId="1" xfId="0" applyNumberFormat="1" applyFont="1" applyFill="1" applyBorder="1" applyAlignment="1">
      <alignment horizontal="center" wrapText="1"/>
    </xf>
    <xf numFmtId="41" fontId="40" fillId="4" borderId="1" xfId="0" applyNumberFormat="1" applyFont="1" applyFill="1" applyBorder="1" applyAlignment="1">
      <alignment horizontal="center" vertical="top" wrapText="1"/>
    </xf>
    <xf numFmtId="41" fontId="40" fillId="18" borderId="1" xfId="0" applyNumberFormat="1" applyFont="1" applyFill="1" applyBorder="1" applyAlignment="1">
      <alignment horizontal="left" vertical="top" wrapText="1"/>
    </xf>
    <xf numFmtId="41" fontId="40" fillId="9" borderId="1" xfId="0" applyNumberFormat="1" applyFont="1" applyFill="1" applyBorder="1" applyAlignment="1">
      <alignment horizontal="left" vertical="top"/>
    </xf>
    <xf numFmtId="41" fontId="40" fillId="8" borderId="1" xfId="0" applyNumberFormat="1" applyFont="1" applyFill="1" applyBorder="1" applyAlignment="1">
      <alignment vertical="top"/>
    </xf>
    <xf numFmtId="41" fontId="41" fillId="0" borderId="0" xfId="0" applyNumberFormat="1" applyFont="1" applyBorder="1" applyAlignment="1">
      <alignment wrapText="1"/>
    </xf>
    <xf numFmtId="43" fontId="37" fillId="0" borderId="19" xfId="1" applyNumberFormat="1" applyFont="1" applyBorder="1" applyAlignment="1">
      <alignment horizontal="center" vertical="top" wrapText="1"/>
    </xf>
    <xf numFmtId="43" fontId="37" fillId="0" borderId="5" xfId="1" applyNumberFormat="1" applyFont="1" applyBorder="1" applyAlignment="1">
      <alignment horizontal="center" vertical="top" wrapText="1"/>
    </xf>
    <xf numFmtId="43" fontId="37" fillId="0" borderId="14" xfId="1" applyNumberFormat="1" applyFont="1" applyFill="1" applyBorder="1" applyAlignment="1">
      <alignment horizontal="center" vertical="top" wrapText="1"/>
    </xf>
    <xf numFmtId="43" fontId="38" fillId="24" borderId="5" xfId="0" applyNumberFormat="1" applyFont="1" applyFill="1" applyBorder="1" applyAlignment="1">
      <alignment horizontal="left" vertical="top"/>
    </xf>
    <xf numFmtId="43" fontId="37" fillId="10" borderId="7" xfId="0" applyNumberFormat="1" applyFont="1" applyFill="1" applyBorder="1" applyAlignment="1">
      <alignment horizontal="left" vertical="top"/>
    </xf>
    <xf numFmtId="43" fontId="38" fillId="10" borderId="7" xfId="0" applyNumberFormat="1" applyFont="1" applyFill="1" applyBorder="1" applyAlignment="1">
      <alignment horizontal="left" vertical="top"/>
    </xf>
    <xf numFmtId="43" fontId="37" fillId="0" borderId="7" xfId="0" applyNumberFormat="1" applyFont="1" applyBorder="1" applyAlignment="1">
      <alignment horizontal="left" vertical="top" wrapText="1"/>
    </xf>
    <xf numFmtId="41" fontId="37" fillId="0" borderId="5" xfId="0" applyNumberFormat="1" applyFont="1" applyBorder="1" applyAlignment="1">
      <alignment horizontal="right" vertical="top" wrapText="1"/>
    </xf>
    <xf numFmtId="188" fontId="37" fillId="0" borderId="1" xfId="1" applyNumberFormat="1" applyFont="1" applyFill="1" applyBorder="1" applyAlignment="1">
      <alignment horizontal="center" vertical="top" wrapText="1"/>
    </xf>
    <xf numFmtId="43" fontId="38" fillId="9" borderId="1" xfId="0" applyNumberFormat="1" applyFont="1" applyFill="1" applyBorder="1" applyAlignment="1">
      <alignment horizontal="right"/>
    </xf>
    <xf numFmtId="189" fontId="38" fillId="8" borderId="1" xfId="0" applyNumberFormat="1" applyFont="1" applyFill="1" applyBorder="1" applyAlignment="1">
      <alignment horizontal="center" vertical="top" wrapText="1"/>
    </xf>
    <xf numFmtId="189" fontId="38" fillId="8" borderId="5" xfId="1" applyNumberFormat="1" applyFont="1" applyFill="1" applyBorder="1" applyAlignment="1">
      <alignment horizontal="center" vertical="top" wrapText="1"/>
    </xf>
    <xf numFmtId="189" fontId="37" fillId="0" borderId="13" xfId="0" applyNumberFormat="1" applyFont="1" applyBorder="1" applyAlignment="1">
      <alignment horizontal="left" vertical="top"/>
    </xf>
    <xf numFmtId="189" fontId="38" fillId="6" borderId="1" xfId="0" applyNumberFormat="1" applyFont="1" applyFill="1" applyBorder="1" applyAlignment="1">
      <alignment horizontal="left" vertical="top" wrapText="1"/>
    </xf>
    <xf numFmtId="189" fontId="38" fillId="7" borderId="1" xfId="0" applyNumberFormat="1" applyFont="1" applyFill="1" applyBorder="1" applyAlignment="1">
      <alignment horizontal="center" vertical="center" wrapText="1"/>
    </xf>
    <xf numFmtId="0" fontId="38" fillId="9" borderId="0" xfId="0" applyNumberFormat="1" applyFont="1" applyFill="1" applyBorder="1" applyAlignment="1">
      <alignment horizontal="left" vertical="top"/>
    </xf>
    <xf numFmtId="0" fontId="38" fillId="21" borderId="4" xfId="0" applyFont="1" applyFill="1" applyBorder="1" applyAlignment="1">
      <alignment horizontal="left" vertical="top"/>
    </xf>
    <xf numFmtId="41" fontId="38" fillId="21" borderId="1" xfId="0" applyNumberFormat="1" applyFont="1" applyFill="1" applyBorder="1" applyAlignment="1">
      <alignment horizontal="left" vertical="top"/>
    </xf>
    <xf numFmtId="41" fontId="40" fillId="21" borderId="1" xfId="0" applyNumberFormat="1" applyFont="1" applyFill="1" applyBorder="1" applyAlignment="1">
      <alignment horizontal="left" vertical="top"/>
    </xf>
    <xf numFmtId="43" fontId="38" fillId="21" borderId="1" xfId="0" applyNumberFormat="1" applyFont="1" applyFill="1" applyBorder="1" applyAlignment="1">
      <alignment horizontal="left" vertical="top"/>
    </xf>
    <xf numFmtId="43" fontId="38" fillId="21" borderId="7" xfId="0" applyNumberFormat="1" applyFont="1" applyFill="1" applyBorder="1" applyAlignment="1">
      <alignment horizontal="right"/>
    </xf>
    <xf numFmtId="0" fontId="38" fillId="21" borderId="2" xfId="0" applyNumberFormat="1" applyFont="1" applyFill="1" applyBorder="1" applyAlignment="1">
      <alignment vertical="top"/>
    </xf>
    <xf numFmtId="0" fontId="38" fillId="21" borderId="2" xfId="0" applyFont="1" applyFill="1" applyBorder="1" applyAlignment="1">
      <alignment horizontal="left" vertical="top"/>
    </xf>
    <xf numFmtId="41" fontId="18" fillId="21" borderId="1" xfId="0" applyNumberFormat="1" applyFont="1" applyFill="1" applyBorder="1" applyAlignment="1">
      <alignment horizontal="left" vertical="top"/>
    </xf>
    <xf numFmtId="2" fontId="38" fillId="21" borderId="1" xfId="0" applyNumberFormat="1" applyFont="1" applyFill="1" applyBorder="1" applyAlignment="1">
      <alignment horizontal="center" vertical="top"/>
    </xf>
    <xf numFmtId="43" fontId="38" fillId="21" borderId="1" xfId="0" applyNumberFormat="1" applyFont="1" applyFill="1" applyBorder="1" applyAlignment="1">
      <alignment horizontal="right"/>
    </xf>
    <xf numFmtId="0" fontId="38" fillId="21" borderId="1" xfId="0" applyNumberFormat="1" applyFont="1" applyFill="1" applyBorder="1" applyAlignment="1">
      <alignment vertical="top"/>
    </xf>
    <xf numFmtId="43" fontId="42" fillId="0" borderId="1" xfId="1" applyNumberFormat="1" applyFont="1" applyFill="1" applyBorder="1" applyAlignment="1">
      <alignment horizontal="center" vertical="top" wrapText="1"/>
    </xf>
    <xf numFmtId="43" fontId="43" fillId="0" borderId="18" xfId="1" applyNumberFormat="1" applyFont="1" applyFill="1" applyBorder="1" applyAlignment="1">
      <alignment horizontal="center" vertical="top" wrapText="1"/>
    </xf>
    <xf numFmtId="43" fontId="43" fillId="0" borderId="16" xfId="1" applyNumberFormat="1" applyFont="1" applyFill="1" applyBorder="1" applyAlignment="1">
      <alignment horizontal="center" vertical="top" wrapText="1"/>
    </xf>
    <xf numFmtId="43" fontId="43" fillId="0" borderId="5" xfId="1" applyNumberFormat="1" applyFont="1" applyFill="1" applyBorder="1" applyAlignment="1">
      <alignment horizontal="center" vertical="top" wrapText="1"/>
    </xf>
    <xf numFmtId="43" fontId="43" fillId="0" borderId="1" xfId="1" applyNumberFormat="1" applyFont="1" applyFill="1" applyBorder="1" applyAlignment="1">
      <alignment horizontal="center" vertical="top" wrapText="1"/>
    </xf>
    <xf numFmtId="43" fontId="43" fillId="0" borderId="7" xfId="1" applyNumberFormat="1" applyFont="1" applyFill="1" applyBorder="1" applyAlignment="1">
      <alignment horizontal="center" vertical="top" wrapText="1"/>
    </xf>
    <xf numFmtId="43" fontId="43" fillId="0" borderId="1" xfId="1" applyNumberFormat="1" applyFont="1" applyBorder="1" applyAlignment="1">
      <alignment horizontal="center" vertical="top" wrapText="1"/>
    </xf>
    <xf numFmtId="43" fontId="42" fillId="0" borderId="1" xfId="1" applyNumberFormat="1" applyFont="1" applyBorder="1" applyAlignment="1">
      <alignment horizontal="center" vertical="top" wrapText="1"/>
    </xf>
    <xf numFmtId="43" fontId="43" fillId="0" borderId="19" xfId="1" applyNumberFormat="1" applyFont="1" applyBorder="1" applyAlignment="1">
      <alignment horizontal="center" vertical="top" wrapText="1"/>
    </xf>
    <xf numFmtId="188" fontId="12" fillId="0" borderId="2" xfId="8" applyNumberFormat="1" applyFont="1" applyBorder="1" applyAlignment="1">
      <alignment horizontal="center" vertical="top" wrapText="1"/>
    </xf>
    <xf numFmtId="188" fontId="15" fillId="0" borderId="1" xfId="8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7" fillId="0" borderId="26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7" fillId="0" borderId="26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/>
    </xf>
    <xf numFmtId="0" fontId="11" fillId="4" borderId="3" xfId="0" applyNumberFormat="1" applyFont="1" applyFill="1" applyBorder="1" applyAlignment="1">
      <alignment vertical="top" wrapText="1"/>
    </xf>
    <xf numFmtId="0" fontId="11" fillId="4" borderId="2" xfId="0" applyNumberFormat="1" applyFont="1" applyFill="1" applyBorder="1" applyAlignment="1">
      <alignment vertical="top" wrapText="1"/>
    </xf>
    <xf numFmtId="0" fontId="5" fillId="6" borderId="3" xfId="0" applyNumberFormat="1" applyFont="1" applyFill="1" applyBorder="1" applyAlignment="1">
      <alignment horizontal="left" vertical="top"/>
    </xf>
    <xf numFmtId="0" fontId="5" fillId="6" borderId="2" xfId="0" applyNumberFormat="1" applyFont="1" applyFill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4" fillId="5" borderId="4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NumberFormat="1" applyFont="1" applyFill="1" applyBorder="1" applyAlignment="1">
      <alignment vertical="top"/>
    </xf>
    <xf numFmtId="0" fontId="11" fillId="4" borderId="2" xfId="0" applyNumberFormat="1" applyFont="1" applyFill="1" applyBorder="1" applyAlignment="1">
      <alignment vertical="top"/>
    </xf>
    <xf numFmtId="0" fontId="12" fillId="0" borderId="26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vertical="top" wrapText="1"/>
    </xf>
    <xf numFmtId="0" fontId="14" fillId="6" borderId="3" xfId="0" applyNumberFormat="1" applyFont="1" applyFill="1" applyBorder="1" applyAlignment="1">
      <alignment horizontal="left" vertical="top" wrapText="1"/>
    </xf>
    <xf numFmtId="0" fontId="14" fillId="6" borderId="2" xfId="0" applyNumberFormat="1" applyFont="1" applyFill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left" vertical="top" wrapText="1"/>
    </xf>
    <xf numFmtId="0" fontId="19" fillId="0" borderId="31" xfId="0" applyNumberFormat="1" applyFont="1" applyBorder="1" applyAlignment="1">
      <alignment horizontal="left" vertical="top" wrapText="1"/>
    </xf>
    <xf numFmtId="0" fontId="19" fillId="0" borderId="32" xfId="0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12" fillId="0" borderId="26" xfId="0" applyNumberFormat="1" applyFont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0" fontId="7" fillId="0" borderId="2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19" fillId="0" borderId="49" xfId="0" applyNumberFormat="1" applyFont="1" applyBorder="1" applyAlignment="1">
      <alignment horizontal="left" vertical="top" wrapText="1"/>
    </xf>
    <xf numFmtId="0" fontId="19" fillId="0" borderId="50" xfId="0" applyNumberFormat="1" applyFont="1" applyBorder="1" applyAlignment="1">
      <alignment horizontal="left" vertical="top" wrapText="1"/>
    </xf>
    <xf numFmtId="0" fontId="19" fillId="0" borderId="46" xfId="0" applyNumberFormat="1" applyFont="1" applyBorder="1" applyAlignment="1">
      <alignment horizontal="left" vertical="top" wrapText="1"/>
    </xf>
    <xf numFmtId="0" fontId="19" fillId="0" borderId="47" xfId="0" applyNumberFormat="1" applyFont="1" applyBorder="1" applyAlignment="1">
      <alignment horizontal="left" vertical="top" wrapText="1"/>
    </xf>
    <xf numFmtId="0" fontId="12" fillId="0" borderId="3" xfId="0" applyNumberFormat="1" applyFont="1" applyBorder="1" applyAlignment="1">
      <alignment horizontal="left" vertical="top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top" wrapText="1"/>
    </xf>
    <xf numFmtId="0" fontId="28" fillId="0" borderId="26" xfId="0" applyNumberFormat="1" applyFont="1" applyBorder="1" applyAlignment="1">
      <alignment horizontal="left" vertical="top" wrapText="1"/>
    </xf>
    <xf numFmtId="0" fontId="11" fillId="8" borderId="3" xfId="0" applyNumberFormat="1" applyFont="1" applyFill="1" applyBorder="1" applyAlignment="1">
      <alignment horizontal="left" vertical="top" wrapText="1"/>
    </xf>
    <xf numFmtId="0" fontId="11" fillId="8" borderId="2" xfId="0" applyNumberFormat="1" applyFont="1" applyFill="1" applyBorder="1" applyAlignment="1">
      <alignment horizontal="left" vertical="top" wrapText="1"/>
    </xf>
    <xf numFmtId="0" fontId="7" fillId="0" borderId="2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4" fillId="8" borderId="3" xfId="0" applyNumberFormat="1" applyFont="1" applyFill="1" applyBorder="1" applyAlignment="1">
      <alignment horizontal="left" vertical="top" wrapText="1"/>
    </xf>
    <xf numFmtId="0" fontId="4" fillId="8" borderId="2" xfId="0" applyNumberFormat="1" applyFont="1" applyFill="1" applyBorder="1" applyAlignment="1">
      <alignment horizontal="left" vertical="top" wrapText="1"/>
    </xf>
    <xf numFmtId="0" fontId="28" fillId="0" borderId="2" xfId="0" applyNumberFormat="1" applyFont="1" applyBorder="1" applyAlignment="1">
      <alignment horizontal="left" vertical="top" wrapText="1"/>
    </xf>
    <xf numFmtId="0" fontId="12" fillId="0" borderId="35" xfId="0" applyNumberFormat="1" applyFont="1" applyBorder="1" applyAlignment="1">
      <alignment horizontal="left" vertical="top" wrapText="1"/>
    </xf>
    <xf numFmtId="0" fontId="12" fillId="0" borderId="36" xfId="0" applyNumberFormat="1" applyFont="1" applyBorder="1" applyAlignment="1">
      <alignment horizontal="left" vertical="top" wrapText="1"/>
    </xf>
    <xf numFmtId="0" fontId="19" fillId="0" borderId="44" xfId="0" applyNumberFormat="1" applyFont="1" applyBorder="1" applyAlignment="1">
      <alignment horizontal="left" vertical="top" wrapText="1"/>
    </xf>
    <xf numFmtId="0" fontId="19" fillId="0" borderId="39" xfId="0" applyNumberFormat="1" applyFont="1" applyBorder="1" applyAlignment="1">
      <alignment horizontal="left" vertical="top" wrapText="1"/>
    </xf>
    <xf numFmtId="0" fontId="19" fillId="0" borderId="34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4" fillId="9" borderId="4" xfId="0" applyFont="1" applyFill="1" applyBorder="1" applyAlignment="1">
      <alignment horizontal="left" vertical="top"/>
    </xf>
    <xf numFmtId="0" fontId="14" fillId="9" borderId="3" xfId="0" applyFont="1" applyFill="1" applyBorder="1" applyAlignment="1">
      <alignment horizontal="left" vertical="top"/>
    </xf>
    <xf numFmtId="0" fontId="14" fillId="9" borderId="2" xfId="0" applyFont="1" applyFill="1" applyBorder="1" applyAlignment="1">
      <alignment horizontal="left" vertical="top"/>
    </xf>
    <xf numFmtId="0" fontId="11" fillId="8" borderId="4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left" vertical="top"/>
    </xf>
    <xf numFmtId="0" fontId="11" fillId="8" borderId="2" xfId="0" applyFont="1" applyFill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8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wrapText="1"/>
    </xf>
    <xf numFmtId="0" fontId="11" fillId="11" borderId="4" xfId="9" applyFont="1" applyFill="1" applyBorder="1" applyAlignment="1">
      <alignment horizontal="center" vertical="top" wrapText="1"/>
    </xf>
    <xf numFmtId="0" fontId="11" fillId="11" borderId="3" xfId="9" applyFont="1" applyFill="1" applyBorder="1" applyAlignment="1">
      <alignment horizontal="center" vertical="top" wrapText="1"/>
    </xf>
    <xf numFmtId="0" fontId="11" fillId="14" borderId="11" xfId="9" applyFont="1" applyFill="1" applyBorder="1" applyAlignment="1">
      <alignment horizontal="left" vertical="top" wrapText="1"/>
    </xf>
    <xf numFmtId="0" fontId="11" fillId="14" borderId="8" xfId="9" applyFont="1" applyFill="1" applyBorder="1" applyAlignment="1">
      <alignment horizontal="left" vertical="top" wrapText="1"/>
    </xf>
    <xf numFmtId="0" fontId="11" fillId="15" borderId="5" xfId="9" applyFont="1" applyFill="1" applyBorder="1" applyAlignment="1">
      <alignment horizontal="left" vertical="top" wrapText="1"/>
    </xf>
    <xf numFmtId="0" fontId="11" fillId="16" borderId="4" xfId="9" applyFont="1" applyFill="1" applyBorder="1" applyAlignment="1">
      <alignment horizontal="left" vertical="top" wrapText="1"/>
    </xf>
    <xf numFmtId="0" fontId="11" fillId="16" borderId="2" xfId="9" applyFont="1" applyFill="1" applyBorder="1" applyAlignment="1">
      <alignment horizontal="left" vertical="top" wrapText="1"/>
    </xf>
    <xf numFmtId="0" fontId="4" fillId="17" borderId="11" xfId="9" applyFont="1" applyFill="1" applyBorder="1" applyAlignment="1">
      <alignment horizontal="left" vertical="top" wrapText="1"/>
    </xf>
    <xf numFmtId="0" fontId="4" fillId="17" borderId="8" xfId="9" applyFont="1" applyFill="1" applyBorder="1" applyAlignment="1">
      <alignment horizontal="left" vertical="top" wrapText="1"/>
    </xf>
    <xf numFmtId="0" fontId="11" fillId="13" borderId="4" xfId="9" applyFont="1" applyFill="1" applyBorder="1" applyAlignment="1">
      <alignment horizontal="left" vertical="top" wrapText="1"/>
    </xf>
    <xf numFmtId="0" fontId="11" fillId="13" borderId="2" xfId="9" applyFont="1" applyFill="1" applyBorder="1" applyAlignment="1">
      <alignment horizontal="left" vertical="top" wrapText="1"/>
    </xf>
    <xf numFmtId="0" fontId="11" fillId="0" borderId="0" xfId="9" applyFont="1" applyAlignment="1">
      <alignment horizontal="center" vertical="top" wrapText="1"/>
    </xf>
    <xf numFmtId="0" fontId="13" fillId="0" borderId="12" xfId="9" applyFont="1" applyBorder="1" applyAlignment="1">
      <alignment horizontal="right" vertical="top" wrapText="1"/>
    </xf>
    <xf numFmtId="0" fontId="11" fillId="11" borderId="2" xfId="9" applyFont="1" applyFill="1" applyBorder="1" applyAlignment="1">
      <alignment horizontal="center" vertical="top" wrapText="1"/>
    </xf>
    <xf numFmtId="0" fontId="11" fillId="12" borderId="4" xfId="9" applyFont="1" applyFill="1" applyBorder="1" applyAlignment="1">
      <alignment horizontal="left" vertical="top" wrapText="1"/>
    </xf>
    <xf numFmtId="0" fontId="11" fillId="12" borderId="2" xfId="9" applyFont="1" applyFill="1" applyBorder="1" applyAlignment="1">
      <alignment horizontal="left" vertical="top" wrapText="1"/>
    </xf>
    <xf numFmtId="0" fontId="11" fillId="0" borderId="8" xfId="9" applyFont="1" applyFill="1" applyBorder="1" applyAlignment="1">
      <alignment horizontal="center" vertical="center" wrapText="1"/>
    </xf>
    <xf numFmtId="0" fontId="11" fillId="0" borderId="7" xfId="9" applyFont="1" applyFill="1" applyBorder="1" applyAlignment="1">
      <alignment horizontal="center" vertical="center" wrapText="1"/>
    </xf>
    <xf numFmtId="0" fontId="11" fillId="0" borderId="11" xfId="9" applyFont="1" applyFill="1" applyBorder="1" applyAlignment="1">
      <alignment horizontal="center" vertical="center" wrapText="1"/>
    </xf>
    <xf numFmtId="0" fontId="11" fillId="0" borderId="9" xfId="9" applyFont="1" applyFill="1" applyBorder="1" applyAlignment="1">
      <alignment horizontal="center" vertical="center" wrapText="1"/>
    </xf>
    <xf numFmtId="188" fontId="11" fillId="0" borderId="4" xfId="8" applyNumberFormat="1" applyFont="1" applyFill="1" applyBorder="1" applyAlignment="1">
      <alignment horizontal="center" vertical="center" wrapText="1"/>
    </xf>
    <xf numFmtId="188" fontId="11" fillId="0" borderId="3" xfId="8" applyNumberFormat="1" applyFont="1" applyFill="1" applyBorder="1" applyAlignment="1">
      <alignment horizontal="center" vertical="center" wrapText="1"/>
    </xf>
    <xf numFmtId="188" fontId="11" fillId="0" borderId="2" xfId="8" applyNumberFormat="1" applyFont="1" applyFill="1" applyBorder="1" applyAlignment="1">
      <alignment horizontal="center" vertical="center" wrapText="1"/>
    </xf>
    <xf numFmtId="0" fontId="11" fillId="0" borderId="19" xfId="9" applyFont="1" applyFill="1" applyBorder="1" applyAlignment="1">
      <alignment horizontal="center" vertical="center" wrapText="1"/>
    </xf>
    <xf numFmtId="0" fontId="11" fillId="0" borderId="5" xfId="9" applyFont="1" applyFill="1" applyBorder="1" applyAlignment="1">
      <alignment horizontal="center" vertical="center" wrapText="1"/>
    </xf>
    <xf numFmtId="188" fontId="11" fillId="0" borderId="19" xfId="8" applyNumberFormat="1" applyFont="1" applyFill="1" applyBorder="1" applyAlignment="1">
      <alignment horizontal="center" vertical="center" wrapText="1"/>
    </xf>
    <xf numFmtId="188" fontId="11" fillId="0" borderId="5" xfId="8" applyNumberFormat="1" applyFont="1" applyFill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left" vertical="top" wrapText="1"/>
    </xf>
    <xf numFmtId="1" fontId="37" fillId="0" borderId="2" xfId="0" applyNumberFormat="1" applyFont="1" applyBorder="1" applyAlignment="1">
      <alignment horizontal="left" vertical="top" wrapText="1"/>
    </xf>
    <xf numFmtId="0" fontId="38" fillId="21" borderId="3" xfId="0" applyNumberFormat="1" applyFont="1" applyFill="1" applyBorder="1" applyAlignment="1">
      <alignment horizontal="left" vertical="top" wrapText="1"/>
    </xf>
    <xf numFmtId="0" fontId="38" fillId="21" borderId="2" xfId="0" applyNumberFormat="1" applyFont="1" applyFill="1" applyBorder="1" applyAlignment="1">
      <alignment horizontal="left" vertical="top" wrapText="1"/>
    </xf>
    <xf numFmtId="41" fontId="38" fillId="0" borderId="4" xfId="0" applyNumberFormat="1" applyFont="1" applyBorder="1" applyAlignment="1">
      <alignment horizontal="center" vertical="center" wrapText="1"/>
    </xf>
    <xf numFmtId="41" fontId="38" fillId="0" borderId="3" xfId="0" applyNumberFormat="1" applyFont="1" applyBorder="1" applyAlignment="1">
      <alignment horizontal="center" vertical="center" wrapText="1"/>
    </xf>
    <xf numFmtId="41" fontId="38" fillId="0" borderId="2" xfId="0" applyNumberFormat="1" applyFont="1" applyBorder="1" applyAlignment="1">
      <alignment horizontal="center" vertical="center" wrapText="1"/>
    </xf>
    <xf numFmtId="43" fontId="38" fillId="10" borderId="19" xfId="0" applyNumberFormat="1" applyFont="1" applyFill="1" applyBorder="1" applyAlignment="1">
      <alignment horizontal="center" vertical="center" wrapText="1"/>
    </xf>
    <xf numFmtId="43" fontId="38" fillId="10" borderId="5" xfId="0" applyNumberFormat="1" applyFont="1" applyFill="1" applyBorder="1" applyAlignment="1">
      <alignment horizontal="center" vertical="center" wrapText="1"/>
    </xf>
    <xf numFmtId="43" fontId="37" fillId="0" borderId="19" xfId="1" applyNumberFormat="1" applyFont="1" applyFill="1" applyBorder="1" applyAlignment="1">
      <alignment horizontal="center" vertical="top" wrapText="1"/>
    </xf>
    <xf numFmtId="43" fontId="37" fillId="0" borderId="5" xfId="1" applyNumberFormat="1" applyFont="1" applyFill="1" applyBorder="1" applyAlignment="1">
      <alignment horizontal="center" vertical="top" wrapText="1"/>
    </xf>
    <xf numFmtId="41" fontId="38" fillId="0" borderId="1" xfId="0" applyNumberFormat="1" applyFont="1" applyBorder="1" applyAlignment="1">
      <alignment horizontal="center" vertical="center" wrapText="1"/>
    </xf>
    <xf numFmtId="41" fontId="38" fillId="0" borderId="19" xfId="0" applyNumberFormat="1" applyFont="1" applyBorder="1" applyAlignment="1">
      <alignment horizontal="center" vertical="center" wrapText="1"/>
    </xf>
    <xf numFmtId="41" fontId="38" fillId="0" borderId="5" xfId="0" applyNumberFormat="1" applyFont="1" applyBorder="1" applyAlignment="1">
      <alignment horizontal="center" vertical="center" wrapText="1"/>
    </xf>
    <xf numFmtId="41" fontId="38" fillId="10" borderId="19" xfId="0" applyNumberFormat="1" applyFont="1" applyFill="1" applyBorder="1" applyAlignment="1">
      <alignment horizontal="center" vertical="center" wrapText="1"/>
    </xf>
    <xf numFmtId="41" fontId="38" fillId="10" borderId="5" xfId="0" applyNumberFormat="1" applyFont="1" applyFill="1" applyBorder="1" applyAlignment="1">
      <alignment horizontal="center" vertical="center" wrapText="1"/>
    </xf>
    <xf numFmtId="2" fontId="38" fillId="10" borderId="19" xfId="0" applyNumberFormat="1" applyFont="1" applyFill="1" applyBorder="1" applyAlignment="1">
      <alignment horizontal="center" vertical="center" wrapText="1"/>
    </xf>
    <xf numFmtId="2" fontId="38" fillId="10" borderId="5" xfId="0" applyNumberFormat="1" applyFont="1" applyFill="1" applyBorder="1" applyAlignment="1">
      <alignment horizontal="center" vertical="center" wrapText="1"/>
    </xf>
    <xf numFmtId="41" fontId="40" fillId="10" borderId="19" xfId="0" applyNumberFormat="1" applyFont="1" applyFill="1" applyBorder="1" applyAlignment="1">
      <alignment horizontal="center" vertical="center" wrapText="1"/>
    </xf>
    <xf numFmtId="41" fontId="40" fillId="10" borderId="5" xfId="0" applyNumberFormat="1" applyFont="1" applyFill="1" applyBorder="1" applyAlignment="1">
      <alignment horizontal="center" vertical="center" wrapText="1"/>
    </xf>
    <xf numFmtId="2" fontId="37" fillId="0" borderId="19" xfId="1" applyNumberFormat="1" applyFont="1" applyBorder="1" applyAlignment="1">
      <alignment horizontal="center" vertical="top" wrapText="1"/>
    </xf>
    <xf numFmtId="2" fontId="37" fillId="0" borderId="5" xfId="1" applyNumberFormat="1" applyFont="1" applyBorder="1" applyAlignment="1">
      <alignment horizontal="center" vertical="top" wrapText="1"/>
    </xf>
    <xf numFmtId="1" fontId="38" fillId="18" borderId="4" xfId="0" applyNumberFormat="1" applyFont="1" applyFill="1" applyBorder="1" applyAlignment="1">
      <alignment horizontal="center" vertical="top" wrapText="1"/>
    </xf>
    <xf numFmtId="1" fontId="38" fillId="18" borderId="3" xfId="0" applyNumberFormat="1" applyFont="1" applyFill="1" applyBorder="1" applyAlignment="1">
      <alignment horizontal="center" vertical="top" wrapText="1"/>
    </xf>
    <xf numFmtId="1" fontId="38" fillId="18" borderId="2" xfId="0" applyNumberFormat="1" applyFont="1" applyFill="1" applyBorder="1" applyAlignment="1">
      <alignment horizontal="center" vertical="top" wrapText="1"/>
    </xf>
    <xf numFmtId="0" fontId="38" fillId="9" borderId="4" xfId="0" applyFont="1" applyFill="1" applyBorder="1" applyAlignment="1">
      <alignment horizontal="left" vertical="top"/>
    </xf>
    <xf numFmtId="0" fontId="38" fillId="9" borderId="3" xfId="0" applyFont="1" applyFill="1" applyBorder="1" applyAlignment="1">
      <alignment horizontal="left" vertical="top"/>
    </xf>
    <xf numFmtId="0" fontId="38" fillId="9" borderId="2" xfId="0" applyFont="1" applyFill="1" applyBorder="1" applyAlignment="1">
      <alignment horizontal="left" vertical="top"/>
    </xf>
    <xf numFmtId="0" fontId="38" fillId="8" borderId="4" xfId="0" applyFont="1" applyFill="1" applyBorder="1" applyAlignment="1">
      <alignment horizontal="left" vertical="top" wrapText="1"/>
    </xf>
    <xf numFmtId="0" fontId="38" fillId="8" borderId="3" xfId="0" applyFont="1" applyFill="1" applyBorder="1" applyAlignment="1">
      <alignment horizontal="left" vertical="top" wrapText="1"/>
    </xf>
    <xf numFmtId="0" fontId="38" fillId="8" borderId="2" xfId="0" applyFont="1" applyFill="1" applyBorder="1" applyAlignment="1">
      <alignment horizontal="left" vertical="top" wrapText="1"/>
    </xf>
    <xf numFmtId="0" fontId="38" fillId="8" borderId="3" xfId="0" applyNumberFormat="1" applyFont="1" applyFill="1" applyBorder="1" applyAlignment="1">
      <alignment horizontal="left" vertical="top" wrapText="1"/>
    </xf>
    <xf numFmtId="0" fontId="38" fillId="8" borderId="2" xfId="0" applyNumberFormat="1" applyFont="1" applyFill="1" applyBorder="1" applyAlignment="1">
      <alignment horizontal="left" vertical="top" wrapText="1"/>
    </xf>
    <xf numFmtId="0" fontId="37" fillId="0" borderId="26" xfId="0" applyNumberFormat="1" applyFont="1" applyFill="1" applyBorder="1" applyAlignment="1">
      <alignment vertical="top" wrapText="1"/>
    </xf>
    <xf numFmtId="0" fontId="37" fillId="0" borderId="2" xfId="0" applyNumberFormat="1" applyFont="1" applyFill="1" applyBorder="1" applyAlignment="1">
      <alignment vertical="top" wrapText="1"/>
    </xf>
    <xf numFmtId="0" fontId="38" fillId="3" borderId="4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0" fontId="38" fillId="3" borderId="2" xfId="0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right" wrapText="1"/>
    </xf>
    <xf numFmtId="0" fontId="37" fillId="0" borderId="59" xfId="0" applyNumberFormat="1" applyFont="1" applyBorder="1" applyAlignment="1">
      <alignment horizontal="left" vertical="top" wrapText="1"/>
    </xf>
    <xf numFmtId="0" fontId="37" fillId="0" borderId="31" xfId="0" applyNumberFormat="1" applyFont="1" applyBorder="1" applyAlignment="1">
      <alignment horizontal="left" vertical="top" wrapText="1"/>
    </xf>
    <xf numFmtId="0" fontId="37" fillId="0" borderId="34" xfId="0" applyNumberFormat="1" applyFont="1" applyBorder="1" applyAlignment="1">
      <alignment horizontal="left" vertical="top" wrapText="1"/>
    </xf>
    <xf numFmtId="0" fontId="37" fillId="0" borderId="7" xfId="0" applyNumberFormat="1" applyFont="1" applyBorder="1" applyAlignment="1">
      <alignment horizontal="left" vertical="top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5" xfId="0" applyNumberFormat="1" applyFont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vertical="top"/>
    </xf>
    <xf numFmtId="0" fontId="37" fillId="0" borderId="2" xfId="0" applyNumberFormat="1" applyFont="1" applyFill="1" applyBorder="1" applyAlignment="1">
      <alignment vertical="top"/>
    </xf>
    <xf numFmtId="0" fontId="38" fillId="4" borderId="4" xfId="0" applyFont="1" applyFill="1" applyBorder="1" applyAlignment="1">
      <alignment vertical="center" wrapText="1"/>
    </xf>
    <xf numFmtId="0" fontId="38" fillId="4" borderId="3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vertical="center" wrapText="1"/>
    </xf>
    <xf numFmtId="0" fontId="38" fillId="4" borderId="3" xfId="0" applyNumberFormat="1" applyFont="1" applyFill="1" applyBorder="1" applyAlignment="1">
      <alignment vertical="top"/>
    </xf>
    <xf numFmtId="0" fontId="38" fillId="4" borderId="2" xfId="0" applyNumberFormat="1" applyFont="1" applyFill="1" applyBorder="1" applyAlignment="1">
      <alignment vertical="top"/>
    </xf>
    <xf numFmtId="0" fontId="37" fillId="0" borderId="26" xfId="0" applyNumberFormat="1" applyFont="1" applyBorder="1" applyAlignment="1">
      <alignment vertical="top" wrapText="1"/>
    </xf>
    <xf numFmtId="0" fontId="37" fillId="0" borderId="2" xfId="0" applyNumberFormat="1" applyFont="1" applyBorder="1" applyAlignment="1">
      <alignment vertical="top" wrapText="1"/>
    </xf>
    <xf numFmtId="0" fontId="38" fillId="4" borderId="3" xfId="0" applyNumberFormat="1" applyFont="1" applyFill="1" applyBorder="1" applyAlignment="1">
      <alignment vertical="top" wrapText="1"/>
    </xf>
    <xf numFmtId="0" fontId="38" fillId="4" borderId="2" xfId="0" applyNumberFormat="1" applyFont="1" applyFill="1" applyBorder="1" applyAlignment="1">
      <alignment vertical="top" wrapText="1"/>
    </xf>
    <xf numFmtId="0" fontId="38" fillId="6" borderId="3" xfId="0" applyNumberFormat="1" applyFont="1" applyFill="1" applyBorder="1" applyAlignment="1">
      <alignment horizontal="left" vertical="top"/>
    </xf>
    <xf numFmtId="0" fontId="38" fillId="6" borderId="2" xfId="0" applyNumberFormat="1" applyFont="1" applyFill="1" applyBorder="1" applyAlignment="1">
      <alignment horizontal="left" vertical="top"/>
    </xf>
    <xf numFmtId="0" fontId="37" fillId="0" borderId="26" xfId="0" applyNumberFormat="1" applyFont="1" applyBorder="1" applyAlignment="1">
      <alignment horizontal="left" vertical="top" wrapText="1"/>
    </xf>
    <xf numFmtId="0" fontId="37" fillId="0" borderId="2" xfId="0" applyNumberFormat="1" applyFont="1" applyBorder="1" applyAlignment="1">
      <alignment horizontal="left" vertical="top" wrapText="1"/>
    </xf>
    <xf numFmtId="0" fontId="38" fillId="5" borderId="9" xfId="0" applyFont="1" applyFill="1" applyBorder="1" applyAlignment="1">
      <alignment vertical="center" wrapText="1"/>
    </xf>
    <xf numFmtId="0" fontId="38" fillId="5" borderId="12" xfId="0" applyFont="1" applyFill="1" applyBorder="1" applyAlignment="1">
      <alignment vertical="center" wrapText="1"/>
    </xf>
    <xf numFmtId="0" fontId="38" fillId="5" borderId="7" xfId="0" applyFont="1" applyFill="1" applyBorder="1" applyAlignment="1">
      <alignment vertical="center" wrapText="1"/>
    </xf>
    <xf numFmtId="0" fontId="38" fillId="6" borderId="3" xfId="0" applyNumberFormat="1" applyFont="1" applyFill="1" applyBorder="1" applyAlignment="1">
      <alignment horizontal="left" vertical="top" wrapText="1"/>
    </xf>
    <xf numFmtId="0" fontId="38" fillId="6" borderId="2" xfId="0" applyNumberFormat="1" applyFont="1" applyFill="1" applyBorder="1" applyAlignment="1">
      <alignment horizontal="left" vertical="top" wrapText="1"/>
    </xf>
    <xf numFmtId="0" fontId="38" fillId="8" borderId="12" xfId="0" applyNumberFormat="1" applyFont="1" applyFill="1" applyBorder="1" applyAlignment="1">
      <alignment horizontal="left" vertical="top" wrapText="1"/>
    </xf>
    <xf numFmtId="0" fontId="38" fillId="8" borderId="7" xfId="0" applyNumberFormat="1" applyFont="1" applyFill="1" applyBorder="1" applyAlignment="1">
      <alignment horizontal="left" vertical="top" wrapText="1"/>
    </xf>
    <xf numFmtId="0" fontId="37" fillId="0" borderId="29" xfId="0" applyNumberFormat="1" applyFont="1" applyBorder="1" applyAlignment="1">
      <alignment horizontal="left" vertical="top" wrapText="1"/>
    </xf>
    <xf numFmtId="0" fontId="37" fillId="0" borderId="20" xfId="0" applyNumberFormat="1" applyFont="1" applyBorder="1" applyAlignment="1">
      <alignment horizontal="left" vertical="top" wrapText="1"/>
    </xf>
    <xf numFmtId="0" fontId="37" fillId="0" borderId="26" xfId="0" applyNumberFormat="1" applyFont="1" applyFill="1" applyBorder="1" applyAlignment="1">
      <alignment horizontal="left" vertical="top" wrapText="1"/>
    </xf>
    <xf numFmtId="0" fontId="37" fillId="0" borderId="2" xfId="0" applyNumberFormat="1" applyFont="1" applyFill="1" applyBorder="1" applyAlignment="1">
      <alignment horizontal="left" vertical="top" wrapText="1"/>
    </xf>
    <xf numFmtId="43" fontId="37" fillId="0" borderId="19" xfId="1" applyNumberFormat="1" applyFont="1" applyBorder="1" applyAlignment="1">
      <alignment horizontal="center" vertical="top" wrapText="1"/>
    </xf>
    <xf numFmtId="43" fontId="37" fillId="0" borderId="5" xfId="1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7" fillId="0" borderId="26" xfId="0" applyNumberFormat="1" applyFont="1" applyBorder="1" applyAlignment="1">
      <alignment horizontal="left" vertical="top"/>
    </xf>
    <xf numFmtId="0" fontId="37" fillId="0" borderId="2" xfId="0" applyNumberFormat="1" applyFont="1" applyBorder="1" applyAlignment="1">
      <alignment horizontal="left" vertical="top"/>
    </xf>
    <xf numFmtId="43" fontId="38" fillId="0" borderId="19" xfId="0" applyNumberFormat="1" applyFont="1" applyBorder="1" applyAlignment="1">
      <alignment horizontal="center" vertical="center" wrapText="1"/>
    </xf>
    <xf numFmtId="43" fontId="38" fillId="0" borderId="14" xfId="0" applyNumberFormat="1" applyFont="1" applyBorder="1" applyAlignment="1">
      <alignment horizontal="center" vertical="center" wrapText="1"/>
    </xf>
    <xf numFmtId="43" fontId="38" fillId="0" borderId="5" xfId="0" applyNumberFormat="1" applyFont="1" applyBorder="1" applyAlignment="1">
      <alignment horizontal="center" vertical="center" wrapText="1"/>
    </xf>
    <xf numFmtId="43" fontId="38" fillId="10" borderId="19" xfId="1" applyFont="1" applyFill="1" applyBorder="1" applyAlignment="1">
      <alignment horizontal="center" vertical="center" wrapText="1"/>
    </xf>
    <xf numFmtId="43" fontId="38" fillId="10" borderId="5" xfId="1" applyFont="1" applyFill="1" applyBorder="1" applyAlignment="1">
      <alignment horizontal="center" vertical="center" wrapText="1"/>
    </xf>
    <xf numFmtId="43" fontId="37" fillId="0" borderId="19" xfId="1" applyFont="1" applyBorder="1" applyAlignment="1">
      <alignment horizontal="center" vertical="top" wrapText="1"/>
    </xf>
    <xf numFmtId="43" fontId="37" fillId="0" borderId="5" xfId="1" applyFont="1" applyBorder="1" applyAlignment="1">
      <alignment horizontal="center" vertical="top" wrapText="1"/>
    </xf>
    <xf numFmtId="0" fontId="37" fillId="0" borderId="30" xfId="0" applyNumberFormat="1" applyFont="1" applyBorder="1" applyAlignment="1">
      <alignment horizontal="left" vertical="top" wrapText="1"/>
    </xf>
    <xf numFmtId="0" fontId="37" fillId="0" borderId="32" xfId="0" applyNumberFormat="1" applyFont="1" applyBorder="1" applyAlignment="1">
      <alignment horizontal="left" vertical="top" wrapText="1"/>
    </xf>
    <xf numFmtId="0" fontId="37" fillId="0" borderId="33" xfId="0" applyNumberFormat="1" applyFont="1" applyBorder="1" applyAlignment="1">
      <alignment horizontal="left" vertical="top" wrapText="1"/>
    </xf>
    <xf numFmtId="0" fontId="37" fillId="0" borderId="3" xfId="0" applyNumberFormat="1" applyFont="1" applyBorder="1" applyAlignment="1">
      <alignment horizontal="left" vertical="top" wrapText="1"/>
    </xf>
    <xf numFmtId="0" fontId="38" fillId="7" borderId="4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horizontal="left" vertical="center" wrapText="1"/>
    </xf>
    <xf numFmtId="0" fontId="38" fillId="6" borderId="4" xfId="0" applyFont="1" applyFill="1" applyBorder="1" applyAlignment="1">
      <alignment horizontal="left" vertical="top" wrapText="1"/>
    </xf>
    <xf numFmtId="0" fontId="38" fillId="6" borderId="3" xfId="0" applyFont="1" applyFill="1" applyBorder="1" applyAlignment="1">
      <alignment horizontal="left" vertical="top" wrapText="1"/>
    </xf>
    <xf numFmtId="0" fontId="38" fillId="6" borderId="2" xfId="0" applyFont="1" applyFill="1" applyBorder="1" applyAlignment="1">
      <alignment horizontal="left" vertical="top" wrapText="1"/>
    </xf>
    <xf numFmtId="0" fontId="37" fillId="0" borderId="19" xfId="0" applyNumberFormat="1" applyFont="1" applyBorder="1" applyAlignment="1">
      <alignment vertical="top" wrapText="1"/>
    </xf>
    <xf numFmtId="0" fontId="37" fillId="0" borderId="5" xfId="0" applyNumberFormat="1" applyFont="1" applyBorder="1" applyAlignment="1">
      <alignment vertical="top" wrapText="1"/>
    </xf>
    <xf numFmtId="41" fontId="37" fillId="0" borderId="19" xfId="1" applyNumberFormat="1" applyFont="1" applyBorder="1" applyAlignment="1">
      <alignment horizontal="center" vertical="top" wrapText="1"/>
    </xf>
    <xf numFmtId="41" fontId="37" fillId="0" borderId="5" xfId="1" applyNumberFormat="1" applyFont="1" applyBorder="1" applyAlignment="1">
      <alignment horizontal="center" vertical="top" wrapText="1"/>
    </xf>
    <xf numFmtId="41" fontId="20" fillId="0" borderId="19" xfId="1" applyNumberFormat="1" applyFont="1" applyBorder="1" applyAlignment="1">
      <alignment horizontal="center" vertical="top" wrapText="1"/>
    </xf>
    <xf numFmtId="41" fontId="20" fillId="0" borderId="5" xfId="1" applyNumberFormat="1" applyFont="1" applyBorder="1" applyAlignment="1">
      <alignment horizontal="center" vertical="top" wrapText="1"/>
    </xf>
    <xf numFmtId="0" fontId="37" fillId="0" borderId="46" xfId="0" applyNumberFormat="1" applyFont="1" applyBorder="1" applyAlignment="1">
      <alignment horizontal="left" vertical="top" wrapText="1"/>
    </xf>
    <xf numFmtId="0" fontId="37" fillId="0" borderId="47" xfId="0" applyNumberFormat="1" applyFont="1" applyBorder="1" applyAlignment="1">
      <alignment horizontal="left" vertical="top" wrapText="1"/>
    </xf>
    <xf numFmtId="0" fontId="11" fillId="21" borderId="19" xfId="0" applyFont="1" applyFill="1" applyBorder="1" applyAlignment="1">
      <alignment horizontal="center" wrapText="1"/>
    </xf>
    <xf numFmtId="0" fontId="11" fillId="21" borderId="5" xfId="0" applyFont="1" applyFill="1" applyBorder="1" applyAlignment="1">
      <alignment horizontal="center" wrapText="1"/>
    </xf>
    <xf numFmtId="0" fontId="11" fillId="21" borderId="1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36" fillId="0" borderId="12" xfId="1" applyNumberFormat="1" applyFont="1" applyBorder="1" applyAlignment="1">
      <alignment horizontal="center"/>
    </xf>
    <xf numFmtId="0" fontId="32" fillId="0" borderId="0" xfId="5" applyFont="1" applyAlignment="1">
      <alignment horizontal="center" vertical="center" wrapText="1"/>
    </xf>
    <xf numFmtId="0" fontId="32" fillId="0" borderId="0" xfId="5" applyFont="1" applyAlignment="1">
      <alignment horizontal="center" vertical="center"/>
    </xf>
    <xf numFmtId="0" fontId="14" fillId="22" borderId="1" xfId="5" applyFont="1" applyFill="1" applyBorder="1" applyAlignment="1">
      <alignment horizontal="center" vertical="center" wrapText="1"/>
    </xf>
  </cellXfs>
  <cellStyles count="38">
    <cellStyle name="Comma" xfId="1" builtinId="3"/>
    <cellStyle name="Comma 2" xfId="10"/>
    <cellStyle name="Comma 2 2" xfId="11"/>
    <cellStyle name="Comma 2 3" xfId="3"/>
    <cellStyle name="Comma 3" xfId="4"/>
    <cellStyle name="Comma 3 2" xfId="12"/>
    <cellStyle name="Comma 3 3" xfId="13"/>
    <cellStyle name="Comma 3 3 2" xfId="14"/>
    <cellStyle name="Comma 4" xfId="15"/>
    <cellStyle name="Comma 5" xfId="16"/>
    <cellStyle name="Comma 6" xfId="17"/>
    <cellStyle name="Excel Built-in Normal" xfId="18"/>
    <cellStyle name="Normal" xfId="0" builtinId="0"/>
    <cellStyle name="Normal 2" xfId="5"/>
    <cellStyle name="Normal 3" xfId="6"/>
    <cellStyle name="Normal 3 2" xfId="7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8"/>
    <cellStyle name="เครื่องหมายจุลภาค 3" xfId="24"/>
    <cellStyle name="เครื่องหมายจุลภาค 4" xfId="25"/>
    <cellStyle name="เครื่องหมายจุลภาค 4 2" xfId="26"/>
    <cellStyle name="เครื่องหมายจุลภาค 5" xfId="27"/>
    <cellStyle name="เครื่องหมายจุลภาค 5 2" xfId="28"/>
    <cellStyle name="เครื่องหมายจุลภาค 6" xfId="29"/>
    <cellStyle name="ปกติ 2" xfId="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35"/>
    <cellStyle name="ปกติ 7" xfId="2"/>
    <cellStyle name="ปกติ 8" xfId="36"/>
    <cellStyle name="ปกติ 9" xfId="37"/>
  </cellStyles>
  <dxfs count="0"/>
  <tableStyles count="0" defaultTableStyle="TableStyleMedium2" defaultPivotStyle="PivotStyleLight16"/>
  <colors>
    <mruColors>
      <color rgb="FFFFCCFF"/>
      <color rgb="FFACEDF4"/>
      <color rgb="FFB7DEE8"/>
      <color rgb="FFFFD5FF"/>
      <color rgb="FF0099FF"/>
      <color rgb="FFFFFF99"/>
      <color rgb="FFFF99CC"/>
      <color rgb="FFFF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workbookViewId="0">
      <selection activeCell="C8" sqref="C8"/>
    </sheetView>
  </sheetViews>
  <sheetFormatPr defaultRowHeight="21" x14ac:dyDescent="0.35"/>
  <cols>
    <col min="1" max="1" width="21.875" style="195" customWidth="1"/>
    <col min="2" max="2" width="20.625" style="196" customWidth="1"/>
    <col min="3" max="4" width="19.875" style="196" customWidth="1"/>
    <col min="5" max="16384" width="9" style="195"/>
  </cols>
  <sheetData>
    <row r="1" spans="1:4" s="188" customFormat="1" ht="30" customHeight="1" x14ac:dyDescent="0.2">
      <c r="A1" s="666" t="s">
        <v>177</v>
      </c>
      <c r="B1" s="666"/>
      <c r="C1" s="666"/>
      <c r="D1" s="666"/>
    </row>
    <row r="2" spans="1:4" s="190" customFormat="1" ht="12" customHeight="1" x14ac:dyDescent="0.2">
      <c r="A2" s="189"/>
      <c r="B2" s="189"/>
      <c r="C2" s="189"/>
      <c r="D2" s="189"/>
    </row>
    <row r="3" spans="1:4" s="191" customFormat="1" ht="30" customHeight="1" x14ac:dyDescent="0.2">
      <c r="A3" s="197" t="s">
        <v>172</v>
      </c>
      <c r="B3" s="198" t="s">
        <v>60</v>
      </c>
      <c r="C3" s="198" t="s">
        <v>61</v>
      </c>
      <c r="D3" s="198" t="s">
        <v>173</v>
      </c>
    </row>
    <row r="4" spans="1:4" s="188" customFormat="1" ht="30" customHeight="1" x14ac:dyDescent="0.2">
      <c r="A4" s="192" t="s">
        <v>174</v>
      </c>
      <c r="B4" s="193">
        <f>'งบจังหวัด 2562'!F126</f>
        <v>160273400</v>
      </c>
      <c r="C4" s="193">
        <f>'งบจังหวัด 2562'!E126</f>
        <v>34732700</v>
      </c>
      <c r="D4" s="193">
        <f>B4+C4</f>
        <v>195006100</v>
      </c>
    </row>
    <row r="5" spans="1:4" s="188" customFormat="1" ht="30" customHeight="1" x14ac:dyDescent="0.2">
      <c r="A5" s="192" t="s">
        <v>175</v>
      </c>
      <c r="B5" s="193">
        <f>'งบกลุ่ม 2562'!D6</f>
        <v>70979000</v>
      </c>
      <c r="C5" s="193">
        <v>0</v>
      </c>
      <c r="D5" s="193">
        <f>B5+C5</f>
        <v>70979000</v>
      </c>
    </row>
    <row r="6" spans="1:4" s="194" customFormat="1" ht="30" customHeight="1" x14ac:dyDescent="0.2">
      <c r="A6" s="199" t="s">
        <v>176</v>
      </c>
      <c r="B6" s="200">
        <f>B4+B5</f>
        <v>231252400</v>
      </c>
      <c r="C6" s="200">
        <f>C4+C5</f>
        <v>34732700</v>
      </c>
      <c r="D6" s="200">
        <f>D4+D5</f>
        <v>265985100</v>
      </c>
    </row>
    <row r="7" spans="1:4" ht="30" customHeight="1" x14ac:dyDescent="0.55000000000000004"/>
    <row r="8" spans="1:4" ht="30" customHeight="1" x14ac:dyDescent="0.55000000000000004"/>
    <row r="9" spans="1:4" ht="30" customHeight="1" x14ac:dyDescent="0.55000000000000004"/>
    <row r="10" spans="1:4" ht="30" customHeight="1" x14ac:dyDescent="0.55000000000000004"/>
    <row r="11" spans="1:4" ht="30" customHeight="1" x14ac:dyDescent="0.55000000000000004"/>
    <row r="12" spans="1:4" ht="30" customHeight="1" x14ac:dyDescent="0.35"/>
    <row r="13" spans="1:4" ht="30" customHeight="1" x14ac:dyDescent="0.35"/>
    <row r="14" spans="1:4" ht="30" customHeight="1" x14ac:dyDescent="0.35"/>
    <row r="15" spans="1:4" ht="30" customHeight="1" x14ac:dyDescent="0.35"/>
    <row r="16" spans="1:4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</sheetData>
  <mergeCells count="1">
    <mergeCell ref="A1:D1"/>
  </mergeCells>
  <pageMargins left="0.7" right="0.4687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97" zoomScaleSheetLayoutView="100" zoomScalePageLayoutView="90" workbookViewId="0">
      <selection activeCell="A11" sqref="A11:C11"/>
    </sheetView>
  </sheetViews>
  <sheetFormatPr defaultRowHeight="21" x14ac:dyDescent="0.35"/>
  <cols>
    <col min="1" max="1" width="2.875" style="123" bestFit="1" customWidth="1"/>
    <col min="2" max="2" width="47.25" style="1" customWidth="1"/>
    <col min="3" max="3" width="12.125" style="1" bestFit="1" customWidth="1"/>
    <col min="4" max="4" width="12.25" style="17" bestFit="1" customWidth="1"/>
    <col min="5" max="5" width="11.125" style="118" bestFit="1" customWidth="1"/>
    <col min="6" max="6" width="12.25" style="17" bestFit="1" customWidth="1"/>
    <col min="7" max="7" width="18.625" style="119" customWidth="1"/>
    <col min="8" max="8" width="14.5" style="17" hidden="1" customWidth="1"/>
    <col min="9" max="9" width="15.25" style="17" hidden="1" customWidth="1"/>
    <col min="10" max="16384" width="9" style="18"/>
  </cols>
  <sheetData>
    <row r="1" spans="1:9" ht="21" customHeight="1" x14ac:dyDescent="0.35">
      <c r="A1" s="745" t="s">
        <v>65</v>
      </c>
      <c r="B1" s="745"/>
      <c r="C1" s="745"/>
      <c r="D1" s="745"/>
      <c r="E1" s="745"/>
      <c r="F1" s="745"/>
      <c r="G1" s="745"/>
      <c r="H1" s="16"/>
    </row>
    <row r="2" spans="1:9" ht="21" customHeight="1" x14ac:dyDescent="0.35">
      <c r="A2" s="182"/>
      <c r="C2" s="124" t="s">
        <v>60</v>
      </c>
      <c r="D2" s="125">
        <f>F10</f>
        <v>160273400</v>
      </c>
      <c r="E2" s="126" t="s">
        <v>118</v>
      </c>
      <c r="F2" s="182"/>
      <c r="G2" s="182"/>
      <c r="H2" s="16"/>
    </row>
    <row r="3" spans="1:9" ht="21" customHeight="1" x14ac:dyDescent="0.35">
      <c r="A3" s="182"/>
      <c r="C3" s="127" t="s">
        <v>61</v>
      </c>
      <c r="D3" s="128">
        <f>E10</f>
        <v>26732700</v>
      </c>
      <c r="E3" s="129" t="s">
        <v>118</v>
      </c>
      <c r="F3" s="182"/>
      <c r="G3" s="182"/>
      <c r="H3" s="16"/>
    </row>
    <row r="4" spans="1:9" ht="21" customHeight="1" x14ac:dyDescent="0.35">
      <c r="A4" s="182"/>
      <c r="B4" s="761" t="s">
        <v>1</v>
      </c>
      <c r="C4" s="761"/>
      <c r="D4" s="130">
        <f>E111</f>
        <v>8000000</v>
      </c>
      <c r="E4" s="131" t="s">
        <v>118</v>
      </c>
      <c r="F4" s="182"/>
      <c r="G4" s="182"/>
      <c r="H4" s="16"/>
    </row>
    <row r="5" spans="1:9" x14ac:dyDescent="0.35">
      <c r="A5" s="182"/>
      <c r="B5" s="674" t="s">
        <v>117</v>
      </c>
      <c r="C5" s="674"/>
      <c r="D5" s="132">
        <f>SUM(D2:D4)</f>
        <v>195006100</v>
      </c>
      <c r="E5" s="182" t="s">
        <v>118</v>
      </c>
      <c r="F5" s="182"/>
      <c r="G5" s="182"/>
      <c r="H5" s="16"/>
    </row>
    <row r="6" spans="1:9" ht="21" customHeight="1" x14ac:dyDescent="0.35">
      <c r="A6" s="673" t="s">
        <v>119</v>
      </c>
      <c r="B6" s="673"/>
      <c r="C6" s="673"/>
      <c r="D6" s="673"/>
      <c r="E6" s="673"/>
      <c r="F6" s="673"/>
      <c r="G6" s="673"/>
      <c r="H6" s="673"/>
      <c r="I6" s="673"/>
    </row>
    <row r="7" spans="1:9" x14ac:dyDescent="0.35">
      <c r="A7" s="746" t="s">
        <v>64</v>
      </c>
      <c r="B7" s="747"/>
      <c r="C7" s="748"/>
      <c r="D7" s="755" t="s">
        <v>63</v>
      </c>
      <c r="E7" s="756"/>
      <c r="F7" s="757"/>
      <c r="G7" s="670" t="s">
        <v>69</v>
      </c>
      <c r="H7" s="670" t="s">
        <v>69</v>
      </c>
      <c r="I7" s="670" t="s">
        <v>69</v>
      </c>
    </row>
    <row r="8" spans="1:9" x14ac:dyDescent="0.35">
      <c r="A8" s="749"/>
      <c r="B8" s="750"/>
      <c r="C8" s="751"/>
      <c r="D8" s="758"/>
      <c r="E8" s="759"/>
      <c r="F8" s="760"/>
      <c r="G8" s="671"/>
      <c r="H8" s="671"/>
      <c r="I8" s="671"/>
    </row>
    <row r="9" spans="1:9" ht="27" customHeight="1" x14ac:dyDescent="0.35">
      <c r="A9" s="752"/>
      <c r="B9" s="753"/>
      <c r="C9" s="754"/>
      <c r="D9" s="19" t="s">
        <v>62</v>
      </c>
      <c r="E9" s="20" t="s">
        <v>61</v>
      </c>
      <c r="F9" s="19" t="s">
        <v>60</v>
      </c>
      <c r="G9" s="672"/>
      <c r="H9" s="672"/>
      <c r="I9" s="672"/>
    </row>
    <row r="10" spans="1:9" s="24" customFormat="1" ht="26.25" customHeight="1" x14ac:dyDescent="0.35">
      <c r="A10" s="667" t="s">
        <v>0</v>
      </c>
      <c r="B10" s="668"/>
      <c r="C10" s="669"/>
      <c r="D10" s="21">
        <f>D11+D55+D90</f>
        <v>187006100</v>
      </c>
      <c r="E10" s="22">
        <f>E11+E55+E90</f>
        <v>26732700</v>
      </c>
      <c r="F10" s="21">
        <f>F11+F55+F90</f>
        <v>160273400</v>
      </c>
      <c r="G10" s="23"/>
      <c r="H10" s="23"/>
      <c r="I10" s="23"/>
    </row>
    <row r="11" spans="1:9" s="27" customFormat="1" x14ac:dyDescent="0.2">
      <c r="A11" s="737" t="s">
        <v>59</v>
      </c>
      <c r="B11" s="738"/>
      <c r="C11" s="739"/>
      <c r="D11" s="120">
        <f>D13+D19+D21+D41+D51</f>
        <v>140234800</v>
      </c>
      <c r="E11" s="25">
        <f>E13+E19+E21+E41+E51</f>
        <v>5774400</v>
      </c>
      <c r="F11" s="25">
        <f>F13+F19+F21+F41+F51</f>
        <v>134460400</v>
      </c>
      <c r="G11" s="26"/>
      <c r="H11" s="26"/>
      <c r="I11" s="26"/>
    </row>
    <row r="12" spans="1:9" s="24" customFormat="1" x14ac:dyDescent="0.35">
      <c r="A12" s="740" t="s">
        <v>70</v>
      </c>
      <c r="B12" s="741"/>
      <c r="C12" s="742"/>
      <c r="D12" s="133"/>
      <c r="E12" s="28"/>
      <c r="F12" s="29"/>
      <c r="G12" s="30"/>
      <c r="H12" s="30"/>
      <c r="I12" s="30"/>
    </row>
    <row r="13" spans="1:9" s="24" customFormat="1" x14ac:dyDescent="0.35">
      <c r="A13" s="135"/>
      <c r="B13" s="724" t="s">
        <v>58</v>
      </c>
      <c r="C13" s="725"/>
      <c r="D13" s="121">
        <f>SUM(D14:D18)</f>
        <v>2164000</v>
      </c>
      <c r="E13" s="28">
        <f>SUM(E14:E18)</f>
        <v>2164000</v>
      </c>
      <c r="F13" s="29">
        <f>SUM(F14:F18)</f>
        <v>0</v>
      </c>
      <c r="G13" s="31"/>
      <c r="H13" s="31"/>
      <c r="I13" s="31"/>
    </row>
    <row r="14" spans="1:9" s="35" customFormat="1" x14ac:dyDescent="0.2">
      <c r="A14" s="32">
        <v>1</v>
      </c>
      <c r="B14" s="743" t="s">
        <v>71</v>
      </c>
      <c r="C14" s="744"/>
      <c r="D14" s="33">
        <f>E14+F14</f>
        <v>509000</v>
      </c>
      <c r="E14" s="33">
        <v>509000</v>
      </c>
      <c r="F14" s="33">
        <v>0</v>
      </c>
      <c r="G14" s="34" t="s">
        <v>66</v>
      </c>
      <c r="H14" s="34" t="s">
        <v>66</v>
      </c>
      <c r="I14" s="34" t="s">
        <v>66</v>
      </c>
    </row>
    <row r="15" spans="1:9" s="38" customFormat="1" ht="21" customHeight="1" x14ac:dyDescent="0.2">
      <c r="A15" s="32">
        <v>2</v>
      </c>
      <c r="B15" s="686" t="s">
        <v>72</v>
      </c>
      <c r="C15" s="687"/>
      <c r="D15" s="33">
        <f>E15+F15</f>
        <v>629000</v>
      </c>
      <c r="E15" s="36">
        <v>629000</v>
      </c>
      <c r="F15" s="36">
        <v>0</v>
      </c>
      <c r="G15" s="37" t="s">
        <v>57</v>
      </c>
      <c r="H15" s="37" t="s">
        <v>57</v>
      </c>
      <c r="I15" s="37" t="s">
        <v>57</v>
      </c>
    </row>
    <row r="16" spans="1:9" s="38" customFormat="1" ht="21" customHeight="1" x14ac:dyDescent="0.2">
      <c r="A16" s="32">
        <v>3</v>
      </c>
      <c r="B16" s="686" t="s">
        <v>56</v>
      </c>
      <c r="C16" s="687"/>
      <c r="D16" s="33">
        <f>E16+F16</f>
        <v>481000</v>
      </c>
      <c r="E16" s="36">
        <v>481000</v>
      </c>
      <c r="F16" s="36">
        <v>0</v>
      </c>
      <c r="G16" s="37" t="s">
        <v>73</v>
      </c>
      <c r="H16" s="37" t="s">
        <v>73</v>
      </c>
      <c r="I16" s="37" t="s">
        <v>73</v>
      </c>
    </row>
    <row r="17" spans="1:9" s="35" customFormat="1" ht="21" customHeight="1" x14ac:dyDescent="0.2">
      <c r="A17" s="32">
        <v>4</v>
      </c>
      <c r="B17" s="686" t="s">
        <v>74</v>
      </c>
      <c r="C17" s="687"/>
      <c r="D17" s="33">
        <f>E17+F17</f>
        <v>440000</v>
      </c>
      <c r="E17" s="33">
        <v>440000</v>
      </c>
      <c r="F17" s="33">
        <v>0</v>
      </c>
      <c r="G17" s="34" t="s">
        <v>75</v>
      </c>
      <c r="H17" s="34" t="s">
        <v>75</v>
      </c>
      <c r="I17" s="34" t="s">
        <v>75</v>
      </c>
    </row>
    <row r="18" spans="1:9" s="35" customFormat="1" ht="31.5" customHeight="1" x14ac:dyDescent="0.2">
      <c r="A18" s="32">
        <v>5</v>
      </c>
      <c r="B18" s="686" t="s">
        <v>76</v>
      </c>
      <c r="C18" s="687"/>
      <c r="D18" s="33">
        <f>E18+F18</f>
        <v>105000</v>
      </c>
      <c r="E18" s="36">
        <v>105000</v>
      </c>
      <c r="F18" s="36">
        <v>0</v>
      </c>
      <c r="G18" s="37" t="s">
        <v>77</v>
      </c>
      <c r="H18" s="37" t="s">
        <v>77</v>
      </c>
      <c r="I18" s="37" t="s">
        <v>77</v>
      </c>
    </row>
    <row r="19" spans="1:9" s="43" customFormat="1" x14ac:dyDescent="0.2">
      <c r="A19" s="134"/>
      <c r="B19" s="724" t="s">
        <v>55</v>
      </c>
      <c r="C19" s="725"/>
      <c r="D19" s="39">
        <f>SUM(D20)</f>
        <v>2412000</v>
      </c>
      <c r="E19" s="40">
        <f>E20</f>
        <v>2412000</v>
      </c>
      <c r="F19" s="41">
        <f>F20</f>
        <v>0</v>
      </c>
      <c r="G19" s="42"/>
      <c r="H19" s="42"/>
      <c r="I19" s="42"/>
    </row>
    <row r="20" spans="1:9" s="47" customFormat="1" x14ac:dyDescent="0.2">
      <c r="A20" s="44">
        <v>1</v>
      </c>
      <c r="B20" s="735" t="s">
        <v>54</v>
      </c>
      <c r="C20" s="736"/>
      <c r="D20" s="45">
        <f>E20+F20</f>
        <v>2412000</v>
      </c>
      <c r="E20" s="33">
        <v>2412000</v>
      </c>
      <c r="F20" s="45">
        <v>0</v>
      </c>
      <c r="G20" s="46" t="s">
        <v>78</v>
      </c>
      <c r="H20" s="46" t="s">
        <v>78</v>
      </c>
      <c r="I20" s="46" t="s">
        <v>78</v>
      </c>
    </row>
    <row r="21" spans="1:9" s="52" customFormat="1" x14ac:dyDescent="0.2">
      <c r="A21" s="48"/>
      <c r="B21" s="724" t="s">
        <v>53</v>
      </c>
      <c r="C21" s="725"/>
      <c r="D21" s="49">
        <f>SUM(D22:D40)</f>
        <v>97215400</v>
      </c>
      <c r="E21" s="50">
        <f>SUM(E22:E40)</f>
        <v>0</v>
      </c>
      <c r="F21" s="49">
        <f>SUM(F22:F40)</f>
        <v>97215400</v>
      </c>
      <c r="G21" s="51"/>
      <c r="H21" s="51"/>
      <c r="I21" s="51"/>
    </row>
    <row r="22" spans="1:9" s="47" customFormat="1" ht="42" customHeight="1" x14ac:dyDescent="0.2">
      <c r="A22" s="53">
        <v>1</v>
      </c>
      <c r="B22" s="704" t="s">
        <v>79</v>
      </c>
      <c r="C22" s="705"/>
      <c r="D22" s="54">
        <v>2316000</v>
      </c>
      <c r="E22" s="55">
        <v>0</v>
      </c>
      <c r="F22" s="54">
        <f>D22</f>
        <v>2316000</v>
      </c>
      <c r="G22" s="56" t="s">
        <v>158</v>
      </c>
      <c r="H22" s="56" t="s">
        <v>158</v>
      </c>
      <c r="I22" s="56" t="s">
        <v>158</v>
      </c>
    </row>
    <row r="23" spans="1:9" s="47" customFormat="1" ht="42" customHeight="1" x14ac:dyDescent="0.2">
      <c r="A23" s="57">
        <v>2</v>
      </c>
      <c r="B23" s="704" t="s">
        <v>116</v>
      </c>
      <c r="C23" s="705"/>
      <c r="D23" s="54">
        <f>E23+F23</f>
        <v>2640000</v>
      </c>
      <c r="E23" s="55">
        <v>0</v>
      </c>
      <c r="F23" s="54">
        <v>2640000</v>
      </c>
      <c r="G23" s="56" t="s">
        <v>80</v>
      </c>
      <c r="H23" s="56" t="s">
        <v>80</v>
      </c>
      <c r="I23" s="56" t="s">
        <v>80</v>
      </c>
    </row>
    <row r="24" spans="1:9" s="47" customFormat="1" ht="42" customHeight="1" x14ac:dyDescent="0.2">
      <c r="A24" s="53">
        <v>3</v>
      </c>
      <c r="B24" s="704" t="s">
        <v>67</v>
      </c>
      <c r="C24" s="705"/>
      <c r="D24" s="54">
        <f>E24+F24</f>
        <v>2500000</v>
      </c>
      <c r="E24" s="55">
        <v>0</v>
      </c>
      <c r="F24" s="54">
        <v>2500000</v>
      </c>
      <c r="G24" s="56" t="s">
        <v>80</v>
      </c>
      <c r="H24" s="56" t="s">
        <v>80</v>
      </c>
      <c r="I24" s="56" t="s">
        <v>80</v>
      </c>
    </row>
    <row r="25" spans="1:9" s="38" customFormat="1" ht="42" customHeight="1" x14ac:dyDescent="0.2">
      <c r="A25" s="32">
        <v>4</v>
      </c>
      <c r="B25" s="686" t="s">
        <v>138</v>
      </c>
      <c r="C25" s="687"/>
      <c r="D25" s="55">
        <v>14000000</v>
      </c>
      <c r="E25" s="55">
        <v>0</v>
      </c>
      <c r="F25" s="55">
        <f>D25</f>
        <v>14000000</v>
      </c>
      <c r="G25" s="183" t="s">
        <v>164</v>
      </c>
      <c r="H25" s="183" t="s">
        <v>164</v>
      </c>
      <c r="I25" s="183" t="s">
        <v>164</v>
      </c>
    </row>
    <row r="26" spans="1:9" s="38" customFormat="1" ht="63" customHeight="1" x14ac:dyDescent="0.2">
      <c r="A26" s="184">
        <v>5</v>
      </c>
      <c r="B26" s="686" t="s">
        <v>81</v>
      </c>
      <c r="C26" s="687"/>
      <c r="D26" s="55">
        <f>E26+F26</f>
        <v>2400000</v>
      </c>
      <c r="E26" s="55">
        <v>0</v>
      </c>
      <c r="F26" s="55">
        <v>2400000</v>
      </c>
      <c r="G26" s="183" t="s">
        <v>164</v>
      </c>
      <c r="H26" s="183" t="s">
        <v>164</v>
      </c>
      <c r="I26" s="183" t="s">
        <v>164</v>
      </c>
    </row>
    <row r="27" spans="1:9" s="38" customFormat="1" ht="42" customHeight="1" x14ac:dyDescent="0.2">
      <c r="A27" s="32">
        <v>6</v>
      </c>
      <c r="B27" s="733" t="s">
        <v>82</v>
      </c>
      <c r="C27" s="734"/>
      <c r="D27" s="55">
        <f>E27+F27</f>
        <v>1850000</v>
      </c>
      <c r="E27" s="55">
        <v>0</v>
      </c>
      <c r="F27" s="55">
        <v>1850000</v>
      </c>
      <c r="G27" s="185" t="s">
        <v>83</v>
      </c>
      <c r="H27" s="185" t="s">
        <v>83</v>
      </c>
      <c r="I27" s="185" t="s">
        <v>83</v>
      </c>
    </row>
    <row r="28" spans="1:9" s="38" customFormat="1" ht="42" customHeight="1" x14ac:dyDescent="0.2">
      <c r="A28" s="184">
        <v>7</v>
      </c>
      <c r="B28" s="733" t="s">
        <v>68</v>
      </c>
      <c r="C28" s="734"/>
      <c r="D28" s="55">
        <v>992000</v>
      </c>
      <c r="E28" s="55">
        <v>0</v>
      </c>
      <c r="F28" s="55">
        <f>D28</f>
        <v>992000</v>
      </c>
      <c r="G28" s="185" t="s">
        <v>157</v>
      </c>
      <c r="H28" s="185" t="s">
        <v>84</v>
      </c>
      <c r="I28" s="185" t="s">
        <v>84</v>
      </c>
    </row>
    <row r="29" spans="1:9" s="38" customFormat="1" ht="42.75" customHeight="1" x14ac:dyDescent="0.2">
      <c r="A29" s="32">
        <v>8</v>
      </c>
      <c r="B29" s="733" t="s">
        <v>85</v>
      </c>
      <c r="C29" s="734"/>
      <c r="D29" s="55">
        <f>E29+F29</f>
        <v>34625600</v>
      </c>
      <c r="E29" s="55">
        <v>0</v>
      </c>
      <c r="F29" s="55">
        <v>34625600</v>
      </c>
      <c r="G29" s="185" t="s">
        <v>157</v>
      </c>
      <c r="H29" s="185" t="s">
        <v>157</v>
      </c>
      <c r="I29" s="185" t="s">
        <v>157</v>
      </c>
    </row>
    <row r="30" spans="1:9" s="38" customFormat="1" ht="42" customHeight="1" x14ac:dyDescent="0.2">
      <c r="A30" s="184">
        <v>9</v>
      </c>
      <c r="B30" s="733" t="s">
        <v>133</v>
      </c>
      <c r="C30" s="734"/>
      <c r="D30" s="55">
        <f>E30+F30</f>
        <v>2054900</v>
      </c>
      <c r="E30" s="55">
        <v>0</v>
      </c>
      <c r="F30" s="55">
        <v>2054900</v>
      </c>
      <c r="G30" s="183" t="s">
        <v>163</v>
      </c>
      <c r="H30" s="183" t="s">
        <v>163</v>
      </c>
      <c r="I30" s="183" t="s">
        <v>163</v>
      </c>
    </row>
    <row r="31" spans="1:9" s="38" customFormat="1" ht="42" customHeight="1" x14ac:dyDescent="0.2">
      <c r="A31" s="32">
        <v>10</v>
      </c>
      <c r="B31" s="733" t="s">
        <v>132</v>
      </c>
      <c r="C31" s="734"/>
      <c r="D31" s="63">
        <v>2116700</v>
      </c>
      <c r="E31" s="55">
        <v>0</v>
      </c>
      <c r="F31" s="63">
        <f>D31</f>
        <v>2116700</v>
      </c>
      <c r="G31" s="183" t="s">
        <v>163</v>
      </c>
      <c r="H31" s="183" t="s">
        <v>163</v>
      </c>
      <c r="I31" s="183" t="s">
        <v>163</v>
      </c>
    </row>
    <row r="32" spans="1:9" s="38" customFormat="1" ht="42" customHeight="1" x14ac:dyDescent="0.2">
      <c r="A32" s="184">
        <v>11</v>
      </c>
      <c r="B32" s="733" t="s">
        <v>86</v>
      </c>
      <c r="C32" s="734"/>
      <c r="D32" s="55">
        <f>E32+F32</f>
        <v>1200000</v>
      </c>
      <c r="E32" s="55">
        <v>0</v>
      </c>
      <c r="F32" s="55">
        <v>1200000</v>
      </c>
      <c r="G32" s="183" t="s">
        <v>163</v>
      </c>
      <c r="H32" s="183" t="s">
        <v>163</v>
      </c>
      <c r="I32" s="183" t="s">
        <v>163</v>
      </c>
    </row>
    <row r="33" spans="1:9" s="38" customFormat="1" ht="42" customHeight="1" x14ac:dyDescent="0.2">
      <c r="A33" s="32">
        <v>12</v>
      </c>
      <c r="B33" s="733" t="s">
        <v>131</v>
      </c>
      <c r="C33" s="734"/>
      <c r="D33" s="55">
        <v>2800000</v>
      </c>
      <c r="E33" s="55">
        <v>0</v>
      </c>
      <c r="F33" s="55">
        <f t="shared" ref="F33:F40" si="0">D33</f>
        <v>2800000</v>
      </c>
      <c r="G33" s="185" t="s">
        <v>163</v>
      </c>
      <c r="H33" s="185" t="s">
        <v>163</v>
      </c>
      <c r="I33" s="185" t="s">
        <v>163</v>
      </c>
    </row>
    <row r="34" spans="1:9" s="38" customFormat="1" ht="42" customHeight="1" x14ac:dyDescent="0.2">
      <c r="A34" s="184">
        <v>13</v>
      </c>
      <c r="B34" s="733" t="s">
        <v>165</v>
      </c>
      <c r="C34" s="734"/>
      <c r="D34" s="63">
        <v>2782000</v>
      </c>
      <c r="E34" s="55">
        <v>0</v>
      </c>
      <c r="F34" s="63">
        <f t="shared" si="0"/>
        <v>2782000</v>
      </c>
      <c r="G34" s="37" t="s">
        <v>87</v>
      </c>
      <c r="H34" s="37" t="s">
        <v>87</v>
      </c>
      <c r="I34" s="37" t="s">
        <v>87</v>
      </c>
    </row>
    <row r="35" spans="1:9" s="38" customFormat="1" ht="42" customHeight="1" x14ac:dyDescent="0.2">
      <c r="A35" s="32">
        <v>14</v>
      </c>
      <c r="B35" s="733" t="s">
        <v>134</v>
      </c>
      <c r="C35" s="734"/>
      <c r="D35" s="63">
        <v>1365000</v>
      </c>
      <c r="E35" s="55">
        <v>0</v>
      </c>
      <c r="F35" s="63">
        <f t="shared" si="0"/>
        <v>1365000</v>
      </c>
      <c r="G35" s="37" t="s">
        <v>87</v>
      </c>
      <c r="H35" s="37" t="s">
        <v>87</v>
      </c>
      <c r="I35" s="37" t="s">
        <v>87</v>
      </c>
    </row>
    <row r="36" spans="1:9" s="38" customFormat="1" ht="42" customHeight="1" x14ac:dyDescent="0.2">
      <c r="A36" s="184">
        <v>15</v>
      </c>
      <c r="B36" s="686" t="s">
        <v>135</v>
      </c>
      <c r="C36" s="687"/>
      <c r="D36" s="63">
        <v>7328000</v>
      </c>
      <c r="E36" s="55">
        <v>0</v>
      </c>
      <c r="F36" s="63">
        <f t="shared" si="0"/>
        <v>7328000</v>
      </c>
      <c r="G36" s="183" t="s">
        <v>161</v>
      </c>
      <c r="H36" s="183" t="s">
        <v>161</v>
      </c>
      <c r="I36" s="183" t="s">
        <v>161</v>
      </c>
    </row>
    <row r="37" spans="1:9" s="38" customFormat="1" ht="42" customHeight="1" x14ac:dyDescent="0.2">
      <c r="A37" s="32">
        <v>16</v>
      </c>
      <c r="B37" s="686" t="s">
        <v>136</v>
      </c>
      <c r="C37" s="687"/>
      <c r="D37" s="63">
        <v>9984000</v>
      </c>
      <c r="E37" s="55">
        <v>0</v>
      </c>
      <c r="F37" s="63">
        <f t="shared" si="0"/>
        <v>9984000</v>
      </c>
      <c r="G37" s="183" t="s">
        <v>161</v>
      </c>
      <c r="H37" s="183" t="s">
        <v>161</v>
      </c>
      <c r="I37" s="183" t="s">
        <v>161</v>
      </c>
    </row>
    <row r="38" spans="1:9" s="38" customFormat="1" ht="63" customHeight="1" x14ac:dyDescent="0.2">
      <c r="A38" s="184">
        <v>17</v>
      </c>
      <c r="B38" s="733" t="s">
        <v>162</v>
      </c>
      <c r="C38" s="734"/>
      <c r="D38" s="63">
        <v>1482700</v>
      </c>
      <c r="E38" s="55">
        <v>0</v>
      </c>
      <c r="F38" s="63">
        <f t="shared" si="0"/>
        <v>1482700</v>
      </c>
      <c r="G38" s="183" t="s">
        <v>160</v>
      </c>
      <c r="H38" s="183" t="s">
        <v>160</v>
      </c>
      <c r="I38" s="183" t="s">
        <v>160</v>
      </c>
    </row>
    <row r="39" spans="1:9" s="38" customFormat="1" ht="63" customHeight="1" x14ac:dyDescent="0.2">
      <c r="A39" s="32">
        <v>18</v>
      </c>
      <c r="B39" s="686" t="s">
        <v>137</v>
      </c>
      <c r="C39" s="687"/>
      <c r="D39" s="63">
        <v>3378500</v>
      </c>
      <c r="E39" s="55">
        <v>0</v>
      </c>
      <c r="F39" s="63">
        <f t="shared" si="0"/>
        <v>3378500</v>
      </c>
      <c r="G39" s="183" t="s">
        <v>159</v>
      </c>
      <c r="H39" s="183" t="s">
        <v>159</v>
      </c>
      <c r="I39" s="183" t="s">
        <v>159</v>
      </c>
    </row>
    <row r="40" spans="1:9" s="38" customFormat="1" ht="42" customHeight="1" x14ac:dyDescent="0.2">
      <c r="A40" s="186">
        <v>19</v>
      </c>
      <c r="B40" s="722" t="s">
        <v>88</v>
      </c>
      <c r="C40" s="723"/>
      <c r="D40" s="55">
        <v>1400000</v>
      </c>
      <c r="E40" s="55">
        <v>0</v>
      </c>
      <c r="F40" s="55">
        <f t="shared" si="0"/>
        <v>1400000</v>
      </c>
      <c r="G40" s="187" t="s">
        <v>52</v>
      </c>
      <c r="H40" s="187" t="s">
        <v>52</v>
      </c>
      <c r="I40" s="187" t="s">
        <v>52</v>
      </c>
    </row>
    <row r="41" spans="1:9" s="52" customFormat="1" x14ac:dyDescent="0.2">
      <c r="A41" s="48"/>
      <c r="B41" s="724" t="s">
        <v>89</v>
      </c>
      <c r="C41" s="725"/>
      <c r="D41" s="61">
        <f>SUM(D42:D50)-D44-D45</f>
        <v>37245000</v>
      </c>
      <c r="E41" s="61">
        <f>SUM(E42:E50)-E44-E45</f>
        <v>0</v>
      </c>
      <c r="F41" s="61">
        <f>SUM(F42:F50)-F44-F45</f>
        <v>37245000</v>
      </c>
      <c r="G41" s="62"/>
      <c r="H41" s="62"/>
      <c r="I41" s="62"/>
    </row>
    <row r="42" spans="1:9" s="47" customFormat="1" ht="42" customHeight="1" x14ac:dyDescent="0.2">
      <c r="A42" s="4">
        <v>1</v>
      </c>
      <c r="B42" s="719" t="s">
        <v>90</v>
      </c>
      <c r="C42" s="726"/>
      <c r="D42" s="59">
        <v>6579000</v>
      </c>
      <c r="E42" s="63">
        <v>0</v>
      </c>
      <c r="F42" s="59">
        <f>D42</f>
        <v>6579000</v>
      </c>
      <c r="G42" s="56" t="s">
        <v>91</v>
      </c>
      <c r="H42" s="56" t="s">
        <v>91</v>
      </c>
      <c r="I42" s="56" t="s">
        <v>91</v>
      </c>
    </row>
    <row r="43" spans="1:9" s="47" customFormat="1" ht="43.5" customHeight="1" x14ac:dyDescent="0.2">
      <c r="A43" s="14">
        <v>2</v>
      </c>
      <c r="B43" s="727" t="s">
        <v>168</v>
      </c>
      <c r="C43" s="728"/>
      <c r="D43" s="137">
        <f>E43+F43</f>
        <v>5256000</v>
      </c>
      <c r="E43" s="140">
        <v>0</v>
      </c>
      <c r="F43" s="138">
        <f>F44+F45</f>
        <v>5256000</v>
      </c>
      <c r="G43" s="139" t="s">
        <v>158</v>
      </c>
      <c r="H43" s="139" t="s">
        <v>158</v>
      </c>
      <c r="I43" s="139" t="s">
        <v>158</v>
      </c>
    </row>
    <row r="44" spans="1:9" s="47" customFormat="1" ht="35.25" customHeight="1" x14ac:dyDescent="0.2">
      <c r="A44" s="142"/>
      <c r="B44" s="729" t="s">
        <v>130</v>
      </c>
      <c r="C44" s="730"/>
      <c r="D44" s="143">
        <f>E44+F44</f>
        <v>4776000</v>
      </c>
      <c r="E44" s="144">
        <v>0</v>
      </c>
      <c r="F44" s="145">
        <f>1592000*3</f>
        <v>4776000</v>
      </c>
      <c r="G44" s="146"/>
      <c r="H44" s="146"/>
      <c r="I44" s="146"/>
    </row>
    <row r="45" spans="1:9" s="47" customFormat="1" x14ac:dyDescent="0.2">
      <c r="A45" s="141"/>
      <c r="B45" s="731" t="s">
        <v>129</v>
      </c>
      <c r="C45" s="732"/>
      <c r="D45" s="147">
        <f>E45+F45</f>
        <v>480000</v>
      </c>
      <c r="E45" s="148">
        <v>0</v>
      </c>
      <c r="F45" s="149">
        <v>480000</v>
      </c>
      <c r="G45" s="46"/>
      <c r="H45" s="46"/>
      <c r="I45" s="46"/>
    </row>
    <row r="46" spans="1:9" s="47" customFormat="1" ht="43.5" customHeight="1" x14ac:dyDescent="0.2">
      <c r="A46" s="4">
        <v>3</v>
      </c>
      <c r="B46" s="719" t="s">
        <v>128</v>
      </c>
      <c r="C46" s="705"/>
      <c r="D46" s="59">
        <v>1350000</v>
      </c>
      <c r="E46" s="63">
        <v>0</v>
      </c>
      <c r="F46" s="59">
        <f>D46</f>
        <v>1350000</v>
      </c>
      <c r="G46" s="56" t="s">
        <v>158</v>
      </c>
      <c r="H46" s="56" t="s">
        <v>158</v>
      </c>
      <c r="I46" s="56" t="s">
        <v>158</v>
      </c>
    </row>
    <row r="47" spans="1:9" s="47" customFormat="1" x14ac:dyDescent="0.2">
      <c r="A47" s="2">
        <v>4</v>
      </c>
      <c r="B47" s="719" t="s">
        <v>92</v>
      </c>
      <c r="C47" s="705"/>
      <c r="D47" s="59">
        <v>7000000</v>
      </c>
      <c r="E47" s="63">
        <v>0</v>
      </c>
      <c r="F47" s="59">
        <f>D47</f>
        <v>7000000</v>
      </c>
      <c r="G47" s="56" t="s">
        <v>93</v>
      </c>
      <c r="H47" s="56" t="s">
        <v>93</v>
      </c>
      <c r="I47" s="56" t="s">
        <v>93</v>
      </c>
    </row>
    <row r="48" spans="1:9" s="47" customFormat="1" x14ac:dyDescent="0.2">
      <c r="A48" s="2">
        <v>5</v>
      </c>
      <c r="B48" s="719" t="s">
        <v>94</v>
      </c>
      <c r="C48" s="705"/>
      <c r="D48" s="54">
        <f>E48+F48</f>
        <v>1060000</v>
      </c>
      <c r="E48" s="63">
        <v>0</v>
      </c>
      <c r="F48" s="54">
        <v>1060000</v>
      </c>
      <c r="G48" s="56" t="s">
        <v>93</v>
      </c>
      <c r="H48" s="56" t="s">
        <v>93</v>
      </c>
      <c r="I48" s="56" t="s">
        <v>93</v>
      </c>
    </row>
    <row r="49" spans="1:9" s="47" customFormat="1" ht="42" customHeight="1" x14ac:dyDescent="0.2">
      <c r="A49" s="4">
        <v>6</v>
      </c>
      <c r="B49" s="719" t="s">
        <v>95</v>
      </c>
      <c r="C49" s="705"/>
      <c r="D49" s="64">
        <f>E49+F49</f>
        <v>9000000</v>
      </c>
      <c r="E49" s="65">
        <v>0</v>
      </c>
      <c r="F49" s="54">
        <v>9000000</v>
      </c>
      <c r="G49" s="56" t="s">
        <v>157</v>
      </c>
      <c r="H49" s="56" t="s">
        <v>157</v>
      </c>
      <c r="I49" s="56" t="s">
        <v>157</v>
      </c>
    </row>
    <row r="50" spans="1:9" s="47" customFormat="1" ht="42" customHeight="1" x14ac:dyDescent="0.2">
      <c r="A50" s="4">
        <v>7</v>
      </c>
      <c r="B50" s="704" t="s">
        <v>127</v>
      </c>
      <c r="C50" s="705"/>
      <c r="D50" s="54">
        <f>E50+F50</f>
        <v>7000000</v>
      </c>
      <c r="E50" s="63">
        <v>0</v>
      </c>
      <c r="F50" s="54">
        <v>7000000</v>
      </c>
      <c r="G50" s="58" t="s">
        <v>157</v>
      </c>
      <c r="H50" s="58" t="s">
        <v>157</v>
      </c>
      <c r="I50" s="58" t="s">
        <v>157</v>
      </c>
    </row>
    <row r="51" spans="1:9" s="47" customFormat="1" x14ac:dyDescent="0.2">
      <c r="A51" s="15"/>
      <c r="B51" s="720" t="s">
        <v>50</v>
      </c>
      <c r="C51" s="721"/>
      <c r="D51" s="66">
        <f>SUM(D52:D54)</f>
        <v>1198400</v>
      </c>
      <c r="E51" s="67">
        <f>E52+E53+E54</f>
        <v>1198400</v>
      </c>
      <c r="F51" s="66">
        <v>0</v>
      </c>
      <c r="G51" s="68"/>
      <c r="H51" s="68"/>
      <c r="I51" s="68"/>
    </row>
    <row r="52" spans="1:9" s="47" customFormat="1" ht="31.5" x14ac:dyDescent="0.2">
      <c r="A52" s="14">
        <v>1</v>
      </c>
      <c r="B52" s="704" t="s">
        <v>96</v>
      </c>
      <c r="C52" s="705"/>
      <c r="D52" s="59">
        <f>E52+F52</f>
        <v>298300</v>
      </c>
      <c r="E52" s="63">
        <v>298300</v>
      </c>
      <c r="F52" s="59">
        <v>0</v>
      </c>
      <c r="G52" s="60" t="s">
        <v>97</v>
      </c>
      <c r="H52" s="60" t="s">
        <v>97</v>
      </c>
      <c r="I52" s="60" t="s">
        <v>97</v>
      </c>
    </row>
    <row r="53" spans="1:9" s="47" customFormat="1" ht="31.5" x14ac:dyDescent="0.2">
      <c r="A53" s="69">
        <v>2</v>
      </c>
      <c r="B53" s="712" t="s">
        <v>98</v>
      </c>
      <c r="C53" s="705"/>
      <c r="D53" s="59">
        <f>E53+F53</f>
        <v>296700</v>
      </c>
      <c r="E53" s="63">
        <v>296700</v>
      </c>
      <c r="F53" s="59">
        <v>0</v>
      </c>
      <c r="G53" s="70" t="s">
        <v>97</v>
      </c>
      <c r="H53" s="70" t="s">
        <v>97</v>
      </c>
      <c r="I53" s="70" t="s">
        <v>97</v>
      </c>
    </row>
    <row r="54" spans="1:9" s="47" customFormat="1" ht="31.5" x14ac:dyDescent="0.2">
      <c r="A54" s="2">
        <v>3</v>
      </c>
      <c r="B54" s="704" t="s">
        <v>49</v>
      </c>
      <c r="C54" s="705"/>
      <c r="D54" s="59">
        <f>E54+F54</f>
        <v>603400</v>
      </c>
      <c r="E54" s="55">
        <v>603400</v>
      </c>
      <c r="F54" s="54">
        <v>0</v>
      </c>
      <c r="G54" s="60" t="s">
        <v>97</v>
      </c>
      <c r="H54" s="60" t="s">
        <v>97</v>
      </c>
      <c r="I54" s="60" t="s">
        <v>97</v>
      </c>
    </row>
    <row r="55" spans="1:9" s="73" customFormat="1" ht="24.75" customHeight="1" x14ac:dyDescent="0.2">
      <c r="A55" s="713" t="s">
        <v>99</v>
      </c>
      <c r="B55" s="714"/>
      <c r="C55" s="715"/>
      <c r="D55" s="71">
        <f>D57+D80+D82+D88</f>
        <v>36571300</v>
      </c>
      <c r="E55" s="71">
        <f>E57+E80+E82+E88</f>
        <v>10758300</v>
      </c>
      <c r="F55" s="71">
        <f>F57+F80+F82+F88</f>
        <v>25813000</v>
      </c>
      <c r="G55" s="72"/>
      <c r="H55" s="72"/>
      <c r="I55" s="72"/>
    </row>
    <row r="56" spans="1:9" s="76" customFormat="1" ht="21" customHeight="1" x14ac:dyDescent="0.2">
      <c r="A56" s="716" t="s">
        <v>48</v>
      </c>
      <c r="B56" s="717"/>
      <c r="C56" s="718"/>
      <c r="D56" s="74"/>
      <c r="E56" s="74"/>
      <c r="F56" s="74"/>
      <c r="G56" s="75"/>
      <c r="H56" s="75"/>
      <c r="I56" s="75"/>
    </row>
    <row r="57" spans="1:9" s="76" customFormat="1" x14ac:dyDescent="0.2">
      <c r="A57" s="136"/>
      <c r="B57" s="698" t="s">
        <v>47</v>
      </c>
      <c r="C57" s="699"/>
      <c r="D57" s="74">
        <f>D58+D59+D63+D71</f>
        <v>31572800</v>
      </c>
      <c r="E57" s="74">
        <f>E58+E59+E63+E71</f>
        <v>5759800</v>
      </c>
      <c r="F57" s="74">
        <f>F58+F59+F63+F71</f>
        <v>25813000</v>
      </c>
      <c r="G57" s="75"/>
      <c r="H57" s="75"/>
      <c r="I57" s="75"/>
    </row>
    <row r="58" spans="1:9" s="76" customFormat="1" x14ac:dyDescent="0.2">
      <c r="A58" s="2">
        <v>1</v>
      </c>
      <c r="B58" s="686" t="s">
        <v>46</v>
      </c>
      <c r="C58" s="687"/>
      <c r="D58" s="77">
        <f>E58+F58</f>
        <v>698340</v>
      </c>
      <c r="E58" s="77">
        <v>698340</v>
      </c>
      <c r="F58" s="77">
        <v>0</v>
      </c>
      <c r="G58" s="37" t="s">
        <v>100</v>
      </c>
      <c r="H58" s="37" t="s">
        <v>100</v>
      </c>
      <c r="I58" s="37" t="s">
        <v>100</v>
      </c>
    </row>
    <row r="59" spans="1:9" s="80" customFormat="1" ht="42" customHeight="1" x14ac:dyDescent="0.2">
      <c r="A59" s="13">
        <v>2</v>
      </c>
      <c r="B59" s="706" t="s">
        <v>101</v>
      </c>
      <c r="C59" s="707"/>
      <c r="D59" s="78">
        <f>E59+F59</f>
        <v>15104370</v>
      </c>
      <c r="E59" s="78">
        <v>1354370</v>
      </c>
      <c r="F59" s="78">
        <v>13750000</v>
      </c>
      <c r="G59" s="79" t="s">
        <v>102</v>
      </c>
      <c r="H59" s="79" t="s">
        <v>102</v>
      </c>
      <c r="I59" s="79" t="s">
        <v>102</v>
      </c>
    </row>
    <row r="60" spans="1:9" s="80" customFormat="1" x14ac:dyDescent="0.2">
      <c r="A60" s="11"/>
      <c r="B60" s="700" t="s">
        <v>45</v>
      </c>
      <c r="C60" s="701"/>
      <c r="D60" s="81"/>
      <c r="E60" s="81">
        <v>0</v>
      </c>
      <c r="F60" s="82">
        <v>1200000</v>
      </c>
      <c r="G60" s="83"/>
      <c r="H60" s="83"/>
      <c r="I60" s="83"/>
    </row>
    <row r="61" spans="1:9" s="80" customFormat="1" x14ac:dyDescent="0.2">
      <c r="A61" s="11"/>
      <c r="B61" s="700" t="s">
        <v>44</v>
      </c>
      <c r="C61" s="701"/>
      <c r="D61" s="81"/>
      <c r="E61" s="81">
        <v>0</v>
      </c>
      <c r="F61" s="82">
        <v>900000</v>
      </c>
      <c r="G61" s="83"/>
      <c r="H61" s="83"/>
      <c r="I61" s="83"/>
    </row>
    <row r="62" spans="1:9" s="80" customFormat="1" x14ac:dyDescent="0.2">
      <c r="A62" s="9"/>
      <c r="B62" s="702" t="s">
        <v>120</v>
      </c>
      <c r="C62" s="703"/>
      <c r="D62" s="84"/>
      <c r="E62" s="84">
        <v>0</v>
      </c>
      <c r="F62" s="85">
        <v>11650000</v>
      </c>
      <c r="G62" s="86"/>
      <c r="H62" s="86"/>
      <c r="I62" s="86"/>
    </row>
    <row r="63" spans="1:9" s="80" customFormat="1" ht="63" customHeight="1" x14ac:dyDescent="0.2">
      <c r="A63" s="12">
        <v>3</v>
      </c>
      <c r="B63" s="706" t="s">
        <v>121</v>
      </c>
      <c r="C63" s="707"/>
      <c r="D63" s="78">
        <f>E63+F63</f>
        <v>11036590</v>
      </c>
      <c r="E63" s="78">
        <v>1025590</v>
      </c>
      <c r="F63" s="78">
        <v>10011000</v>
      </c>
      <c r="G63" s="79" t="s">
        <v>102</v>
      </c>
      <c r="H63" s="79" t="s">
        <v>102</v>
      </c>
      <c r="I63" s="79" t="s">
        <v>102</v>
      </c>
    </row>
    <row r="64" spans="1:9" s="80" customFormat="1" ht="31.5" customHeight="1" x14ac:dyDescent="0.2">
      <c r="A64" s="10"/>
      <c r="B64" s="700" t="s">
        <v>103</v>
      </c>
      <c r="C64" s="701"/>
      <c r="D64" s="87"/>
      <c r="E64" s="87"/>
      <c r="F64" s="88">
        <v>6651000</v>
      </c>
      <c r="G64" s="89"/>
      <c r="H64" s="89"/>
      <c r="I64" s="89"/>
    </row>
    <row r="65" spans="1:9" s="80" customFormat="1" x14ac:dyDescent="0.2">
      <c r="A65" s="11"/>
      <c r="B65" s="700" t="s">
        <v>43</v>
      </c>
      <c r="C65" s="701"/>
      <c r="D65" s="81"/>
      <c r="E65" s="81"/>
      <c r="F65" s="82">
        <v>260000</v>
      </c>
      <c r="G65" s="83"/>
      <c r="H65" s="83"/>
      <c r="I65" s="83"/>
    </row>
    <row r="66" spans="1:9" s="80" customFormat="1" x14ac:dyDescent="0.2">
      <c r="A66" s="11"/>
      <c r="B66" s="700" t="s">
        <v>122</v>
      </c>
      <c r="C66" s="701"/>
      <c r="D66" s="81"/>
      <c r="E66" s="81"/>
      <c r="F66" s="82">
        <v>400000</v>
      </c>
      <c r="G66" s="83"/>
      <c r="H66" s="83"/>
      <c r="I66" s="83"/>
    </row>
    <row r="67" spans="1:9" s="80" customFormat="1" x14ac:dyDescent="0.2">
      <c r="A67" s="11"/>
      <c r="B67" s="700" t="s">
        <v>42</v>
      </c>
      <c r="C67" s="701"/>
      <c r="D67" s="81"/>
      <c r="E67" s="81"/>
      <c r="F67" s="82">
        <v>400000</v>
      </c>
      <c r="G67" s="83"/>
      <c r="H67" s="83"/>
      <c r="I67" s="83"/>
    </row>
    <row r="68" spans="1:9" s="80" customFormat="1" x14ac:dyDescent="0.2">
      <c r="A68" s="11"/>
      <c r="B68" s="700" t="s">
        <v>41</v>
      </c>
      <c r="C68" s="701"/>
      <c r="D68" s="81"/>
      <c r="E68" s="81"/>
      <c r="F68" s="82">
        <v>600000</v>
      </c>
      <c r="G68" s="83"/>
      <c r="H68" s="83"/>
      <c r="I68" s="83"/>
    </row>
    <row r="69" spans="1:9" s="80" customFormat="1" x14ac:dyDescent="0.2">
      <c r="A69" s="11"/>
      <c r="B69" s="700" t="s">
        <v>123</v>
      </c>
      <c r="C69" s="701"/>
      <c r="D69" s="81"/>
      <c r="E69" s="81"/>
      <c r="F69" s="82">
        <v>1200000</v>
      </c>
      <c r="G69" s="83"/>
      <c r="H69" s="83"/>
      <c r="I69" s="83"/>
    </row>
    <row r="70" spans="1:9" s="80" customFormat="1" x14ac:dyDescent="0.2">
      <c r="A70" s="9"/>
      <c r="B70" s="702" t="s">
        <v>40</v>
      </c>
      <c r="C70" s="703"/>
      <c r="D70" s="84"/>
      <c r="E70" s="84"/>
      <c r="F70" s="85">
        <v>500000</v>
      </c>
      <c r="G70" s="86"/>
      <c r="H70" s="86"/>
      <c r="I70" s="86"/>
    </row>
    <row r="71" spans="1:9" s="80" customFormat="1" ht="46.5" customHeight="1" x14ac:dyDescent="0.2">
      <c r="A71" s="12">
        <v>4</v>
      </c>
      <c r="B71" s="706" t="s">
        <v>124</v>
      </c>
      <c r="C71" s="707"/>
      <c r="D71" s="78">
        <f>E71+F71</f>
        <v>4733500</v>
      </c>
      <c r="E71" s="78">
        <v>2681500</v>
      </c>
      <c r="F71" s="78">
        <v>2052000</v>
      </c>
      <c r="G71" s="79" t="s">
        <v>102</v>
      </c>
      <c r="H71" s="79" t="s">
        <v>102</v>
      </c>
      <c r="I71" s="79" t="s">
        <v>102</v>
      </c>
    </row>
    <row r="72" spans="1:9" s="80" customFormat="1" x14ac:dyDescent="0.2">
      <c r="A72" s="11"/>
      <c r="B72" s="700" t="s">
        <v>39</v>
      </c>
      <c r="C72" s="701"/>
      <c r="D72" s="81"/>
      <c r="E72" s="81"/>
      <c r="F72" s="82">
        <v>10000</v>
      </c>
      <c r="G72" s="83"/>
      <c r="H72" s="83"/>
      <c r="I72" s="83"/>
    </row>
    <row r="73" spans="1:9" s="80" customFormat="1" x14ac:dyDescent="0.2">
      <c r="A73" s="151"/>
      <c r="B73" s="708" t="s">
        <v>38</v>
      </c>
      <c r="C73" s="709"/>
      <c r="D73" s="152"/>
      <c r="E73" s="152"/>
      <c r="F73" s="153">
        <v>648000</v>
      </c>
      <c r="G73" s="154"/>
      <c r="H73" s="154"/>
      <c r="I73" s="154"/>
    </row>
    <row r="74" spans="1:9" s="80" customFormat="1" x14ac:dyDescent="0.2">
      <c r="A74" s="10"/>
      <c r="B74" s="710" t="s">
        <v>37</v>
      </c>
      <c r="C74" s="711"/>
      <c r="D74" s="87"/>
      <c r="E74" s="87"/>
      <c r="F74" s="88">
        <v>32000</v>
      </c>
      <c r="G74" s="89"/>
      <c r="H74" s="89"/>
      <c r="I74" s="89"/>
    </row>
    <row r="75" spans="1:9" s="80" customFormat="1" x14ac:dyDescent="0.2">
      <c r="A75" s="11"/>
      <c r="B75" s="700" t="s">
        <v>36</v>
      </c>
      <c r="C75" s="701"/>
      <c r="D75" s="81"/>
      <c r="E75" s="81"/>
      <c r="F75" s="82">
        <v>10000</v>
      </c>
      <c r="G75" s="83"/>
      <c r="H75" s="83"/>
      <c r="I75" s="83"/>
    </row>
    <row r="76" spans="1:9" s="80" customFormat="1" x14ac:dyDescent="0.2">
      <c r="A76" s="11"/>
      <c r="B76" s="700" t="s">
        <v>35</v>
      </c>
      <c r="C76" s="701"/>
      <c r="D76" s="81"/>
      <c r="E76" s="81"/>
      <c r="F76" s="82">
        <v>25000</v>
      </c>
      <c r="G76" s="83"/>
      <c r="H76" s="83"/>
      <c r="I76" s="83"/>
    </row>
    <row r="77" spans="1:9" s="80" customFormat="1" x14ac:dyDescent="0.2">
      <c r="A77" s="11"/>
      <c r="B77" s="700" t="s">
        <v>125</v>
      </c>
      <c r="C77" s="701"/>
      <c r="D77" s="81"/>
      <c r="E77" s="81"/>
      <c r="F77" s="82">
        <v>423000</v>
      </c>
      <c r="G77" s="83"/>
      <c r="H77" s="83"/>
      <c r="I77" s="83"/>
    </row>
    <row r="78" spans="1:9" s="80" customFormat="1" x14ac:dyDescent="0.2">
      <c r="A78" s="10"/>
      <c r="B78" s="700" t="s">
        <v>34</v>
      </c>
      <c r="C78" s="701"/>
      <c r="D78" s="87"/>
      <c r="E78" s="87"/>
      <c r="F78" s="88">
        <v>204000</v>
      </c>
      <c r="G78" s="89"/>
      <c r="H78" s="89"/>
      <c r="I78" s="89"/>
    </row>
    <row r="79" spans="1:9" s="80" customFormat="1" x14ac:dyDescent="0.2">
      <c r="A79" s="9"/>
      <c r="B79" s="702" t="s">
        <v>33</v>
      </c>
      <c r="C79" s="703"/>
      <c r="D79" s="84"/>
      <c r="E79" s="84"/>
      <c r="F79" s="85">
        <v>700000</v>
      </c>
      <c r="G79" s="86"/>
      <c r="H79" s="86"/>
      <c r="I79" s="86"/>
    </row>
    <row r="80" spans="1:9" s="92" customFormat="1" x14ac:dyDescent="0.2">
      <c r="A80" s="8"/>
      <c r="B80" s="698" t="s">
        <v>32</v>
      </c>
      <c r="C80" s="699"/>
      <c r="D80" s="90">
        <f>SUM(D81:D81)</f>
        <v>400000</v>
      </c>
      <c r="E80" s="90">
        <v>400000</v>
      </c>
      <c r="F80" s="90"/>
      <c r="G80" s="91"/>
      <c r="H80" s="91"/>
      <c r="I80" s="91"/>
    </row>
    <row r="81" spans="1:9" s="76" customFormat="1" x14ac:dyDescent="0.2">
      <c r="A81" s="2">
        <v>1</v>
      </c>
      <c r="B81" s="704" t="s">
        <v>31</v>
      </c>
      <c r="C81" s="705"/>
      <c r="D81" s="93">
        <v>400000</v>
      </c>
      <c r="E81" s="36">
        <v>400000</v>
      </c>
      <c r="F81" s="93">
        <v>0</v>
      </c>
      <c r="G81" s="60" t="s">
        <v>104</v>
      </c>
      <c r="H81" s="60" t="s">
        <v>104</v>
      </c>
      <c r="I81" s="60" t="s">
        <v>104</v>
      </c>
    </row>
    <row r="82" spans="1:9" s="95" customFormat="1" x14ac:dyDescent="0.2">
      <c r="A82" s="94"/>
      <c r="B82" s="698" t="s">
        <v>126</v>
      </c>
      <c r="C82" s="699"/>
      <c r="D82" s="74">
        <f>SUM(D83:D87)</f>
        <v>1898500</v>
      </c>
      <c r="E82" s="74">
        <f>SUM(E83:E87)</f>
        <v>1898500</v>
      </c>
      <c r="F82" s="74">
        <f>SUM(F83:F87)</f>
        <v>0</v>
      </c>
      <c r="G82" s="91"/>
      <c r="H82" s="91"/>
      <c r="I82" s="91"/>
    </row>
    <row r="83" spans="1:9" s="76" customFormat="1" x14ac:dyDescent="0.2">
      <c r="A83" s="6">
        <v>1</v>
      </c>
      <c r="B83" s="686" t="s">
        <v>105</v>
      </c>
      <c r="C83" s="687"/>
      <c r="D83" s="77">
        <f>E83+F83</f>
        <v>453350</v>
      </c>
      <c r="E83" s="77">
        <v>453350</v>
      </c>
      <c r="F83" s="77">
        <v>0</v>
      </c>
      <c r="G83" s="37" t="s">
        <v>106</v>
      </c>
      <c r="H83" s="37" t="s">
        <v>106</v>
      </c>
      <c r="I83" s="37" t="s">
        <v>106</v>
      </c>
    </row>
    <row r="84" spans="1:9" s="76" customFormat="1" ht="42" customHeight="1" x14ac:dyDescent="0.2">
      <c r="A84" s="7">
        <v>2</v>
      </c>
      <c r="B84" s="686" t="s">
        <v>166</v>
      </c>
      <c r="C84" s="687"/>
      <c r="D84" s="77">
        <f t="shared" ref="D84:D91" si="1">E84+F84</f>
        <v>758450</v>
      </c>
      <c r="E84" s="77">
        <v>758450</v>
      </c>
      <c r="F84" s="77"/>
      <c r="G84" s="37" t="s">
        <v>106</v>
      </c>
      <c r="H84" s="37" t="s">
        <v>106</v>
      </c>
      <c r="I84" s="37" t="s">
        <v>106</v>
      </c>
    </row>
    <row r="85" spans="1:9" s="76" customFormat="1" x14ac:dyDescent="0.2">
      <c r="A85" s="7">
        <v>3</v>
      </c>
      <c r="B85" s="686" t="s">
        <v>30</v>
      </c>
      <c r="C85" s="687"/>
      <c r="D85" s="77">
        <f t="shared" si="1"/>
        <v>420000</v>
      </c>
      <c r="E85" s="77">
        <v>420000</v>
      </c>
      <c r="F85" s="77">
        <v>0</v>
      </c>
      <c r="G85" s="37" t="s">
        <v>106</v>
      </c>
      <c r="H85" s="37" t="s">
        <v>106</v>
      </c>
      <c r="I85" s="37" t="s">
        <v>106</v>
      </c>
    </row>
    <row r="86" spans="1:9" s="76" customFormat="1" x14ac:dyDescent="0.2">
      <c r="A86" s="7">
        <v>4</v>
      </c>
      <c r="B86" s="686" t="s">
        <v>107</v>
      </c>
      <c r="C86" s="687"/>
      <c r="D86" s="77">
        <f t="shared" si="1"/>
        <v>150300</v>
      </c>
      <c r="E86" s="77">
        <v>150300</v>
      </c>
      <c r="F86" s="77">
        <v>0</v>
      </c>
      <c r="G86" s="37" t="s">
        <v>100</v>
      </c>
      <c r="H86" s="37" t="s">
        <v>100</v>
      </c>
      <c r="I86" s="37" t="s">
        <v>100</v>
      </c>
    </row>
    <row r="87" spans="1:9" s="76" customFormat="1" x14ac:dyDescent="0.2">
      <c r="A87" s="7">
        <v>5</v>
      </c>
      <c r="B87" s="686" t="s">
        <v>29</v>
      </c>
      <c r="C87" s="687"/>
      <c r="D87" s="77">
        <f t="shared" si="1"/>
        <v>116400</v>
      </c>
      <c r="E87" s="77">
        <v>116400</v>
      </c>
      <c r="F87" s="77">
        <v>0</v>
      </c>
      <c r="G87" s="37" t="s">
        <v>78</v>
      </c>
      <c r="H87" s="37" t="s">
        <v>78</v>
      </c>
      <c r="I87" s="37" t="s">
        <v>78</v>
      </c>
    </row>
    <row r="88" spans="1:9" s="76" customFormat="1" x14ac:dyDescent="0.2">
      <c r="A88" s="122"/>
      <c r="B88" s="684" t="s">
        <v>28</v>
      </c>
      <c r="C88" s="685"/>
      <c r="D88" s="96">
        <f>SUM(D89:D89)</f>
        <v>2700000</v>
      </c>
      <c r="E88" s="96">
        <f>SUM(E89:E89)</f>
        <v>2700000</v>
      </c>
      <c r="F88" s="96"/>
      <c r="G88" s="75"/>
      <c r="H88" s="75"/>
      <c r="I88" s="75"/>
    </row>
    <row r="89" spans="1:9" s="76" customFormat="1" ht="42" customHeight="1" x14ac:dyDescent="0.2">
      <c r="A89" s="6">
        <v>1</v>
      </c>
      <c r="B89" s="686" t="s">
        <v>167</v>
      </c>
      <c r="C89" s="687"/>
      <c r="D89" s="77">
        <f t="shared" si="1"/>
        <v>2700000</v>
      </c>
      <c r="E89" s="97">
        <v>2700000</v>
      </c>
      <c r="F89" s="97">
        <v>0</v>
      </c>
      <c r="G89" s="86" t="s">
        <v>108</v>
      </c>
      <c r="H89" s="86" t="s">
        <v>108</v>
      </c>
      <c r="I89" s="86" t="s">
        <v>108</v>
      </c>
    </row>
    <row r="90" spans="1:9" s="73" customFormat="1" ht="21" customHeight="1" x14ac:dyDescent="0.2">
      <c r="A90" s="688" t="s">
        <v>109</v>
      </c>
      <c r="B90" s="689"/>
      <c r="C90" s="690"/>
      <c r="D90" s="98">
        <f>+D92+D94</f>
        <v>10200000</v>
      </c>
      <c r="E90" s="98">
        <f>+E92+E94</f>
        <v>10200000</v>
      </c>
      <c r="F90" s="98">
        <f>+F92+F94</f>
        <v>0</v>
      </c>
      <c r="G90" s="99"/>
      <c r="H90" s="99"/>
      <c r="I90" s="99"/>
    </row>
    <row r="91" spans="1:9" s="104" customFormat="1" ht="21" customHeight="1" x14ac:dyDescent="0.35">
      <c r="A91" s="691" t="s">
        <v>27</v>
      </c>
      <c r="B91" s="692"/>
      <c r="C91" s="693"/>
      <c r="D91" s="100">
        <f t="shared" si="1"/>
        <v>0</v>
      </c>
      <c r="E91" s="101"/>
      <c r="F91" s="102"/>
      <c r="G91" s="103"/>
      <c r="H91" s="103"/>
      <c r="I91" s="103"/>
    </row>
    <row r="92" spans="1:9" s="47" customFormat="1" x14ac:dyDescent="0.2">
      <c r="A92" s="5"/>
      <c r="B92" s="694" t="s">
        <v>26</v>
      </c>
      <c r="C92" s="695"/>
      <c r="D92" s="100">
        <f>E92+F92</f>
        <v>600000</v>
      </c>
      <c r="E92" s="105">
        <f>E93</f>
        <v>600000</v>
      </c>
      <c r="F92" s="106">
        <v>0</v>
      </c>
      <c r="G92" s="107"/>
      <c r="H92" s="107"/>
      <c r="I92" s="107"/>
    </row>
    <row r="93" spans="1:9" s="47" customFormat="1" ht="30" x14ac:dyDescent="0.2">
      <c r="A93" s="4">
        <v>1</v>
      </c>
      <c r="B93" s="696" t="s">
        <v>25</v>
      </c>
      <c r="C93" s="697"/>
      <c r="D93" s="77">
        <f>E93+F93</f>
        <v>600000</v>
      </c>
      <c r="E93" s="77">
        <v>600000</v>
      </c>
      <c r="F93" s="77">
        <v>0</v>
      </c>
      <c r="G93" s="150" t="s">
        <v>110</v>
      </c>
      <c r="H93" s="150" t="s">
        <v>110</v>
      </c>
      <c r="I93" s="150" t="s">
        <v>110</v>
      </c>
    </row>
    <row r="94" spans="1:9" s="52" customFormat="1" x14ac:dyDescent="0.2">
      <c r="A94" s="3"/>
      <c r="B94" s="682" t="s">
        <v>24</v>
      </c>
      <c r="C94" s="683"/>
      <c r="D94" s="108">
        <f>SUM(D95:D110)</f>
        <v>9600000</v>
      </c>
      <c r="E94" s="109">
        <f>SUM(E95:E110)</f>
        <v>9600000</v>
      </c>
      <c r="F94" s="108">
        <f>SUM(F95:F110)</f>
        <v>0</v>
      </c>
      <c r="G94" s="110"/>
      <c r="H94" s="110"/>
      <c r="I94" s="110"/>
    </row>
    <row r="95" spans="1:9" s="47" customFormat="1" ht="34.5" x14ac:dyDescent="0.2">
      <c r="A95" s="2">
        <v>1</v>
      </c>
      <c r="B95" s="675" t="s">
        <v>23</v>
      </c>
      <c r="C95" s="676"/>
      <c r="D95" s="77">
        <f>E95+F95</f>
        <v>500000</v>
      </c>
      <c r="E95" s="65">
        <v>500000</v>
      </c>
      <c r="F95" s="111">
        <v>0</v>
      </c>
      <c r="G95" s="112" t="s">
        <v>111</v>
      </c>
      <c r="H95" s="112" t="s">
        <v>111</v>
      </c>
      <c r="I95" s="112" t="s">
        <v>111</v>
      </c>
    </row>
    <row r="96" spans="1:9" s="47" customFormat="1" x14ac:dyDescent="0.2">
      <c r="A96" s="2">
        <v>2</v>
      </c>
      <c r="B96" s="675" t="s">
        <v>22</v>
      </c>
      <c r="C96" s="676"/>
      <c r="D96" s="77">
        <f t="shared" ref="D96:D110" si="2">E96+F96</f>
        <v>400000</v>
      </c>
      <c r="E96" s="65">
        <v>400000</v>
      </c>
      <c r="F96" s="111">
        <v>0</v>
      </c>
      <c r="G96" s="113" t="s">
        <v>13</v>
      </c>
      <c r="H96" s="113" t="s">
        <v>13</v>
      </c>
      <c r="I96" s="113" t="s">
        <v>13</v>
      </c>
    </row>
    <row r="97" spans="1:9" s="47" customFormat="1" x14ac:dyDescent="0.2">
      <c r="A97" s="2">
        <v>3</v>
      </c>
      <c r="B97" s="675" t="s">
        <v>21</v>
      </c>
      <c r="C97" s="676"/>
      <c r="D97" s="77">
        <f t="shared" si="2"/>
        <v>500000</v>
      </c>
      <c r="E97" s="65">
        <v>500000</v>
      </c>
      <c r="F97" s="111">
        <v>0</v>
      </c>
      <c r="G97" s="113" t="s">
        <v>112</v>
      </c>
      <c r="H97" s="113" t="s">
        <v>112</v>
      </c>
      <c r="I97" s="113" t="s">
        <v>112</v>
      </c>
    </row>
    <row r="98" spans="1:9" s="47" customFormat="1" x14ac:dyDescent="0.2">
      <c r="A98" s="2">
        <v>4</v>
      </c>
      <c r="B98" s="675" t="s">
        <v>20</v>
      </c>
      <c r="C98" s="676"/>
      <c r="D98" s="77">
        <f t="shared" si="2"/>
        <v>500000</v>
      </c>
      <c r="E98" s="65">
        <v>500000</v>
      </c>
      <c r="F98" s="111">
        <v>0</v>
      </c>
      <c r="G98" s="112" t="s">
        <v>2</v>
      </c>
      <c r="H98" s="112" t="s">
        <v>2</v>
      </c>
      <c r="I98" s="112" t="s">
        <v>2</v>
      </c>
    </row>
    <row r="99" spans="1:9" s="47" customFormat="1" x14ac:dyDescent="0.2">
      <c r="A99" s="2">
        <v>5</v>
      </c>
      <c r="B99" s="675" t="s">
        <v>19</v>
      </c>
      <c r="C99" s="676"/>
      <c r="D99" s="77">
        <f t="shared" si="2"/>
        <v>500000</v>
      </c>
      <c r="E99" s="65">
        <v>500000</v>
      </c>
      <c r="F99" s="111">
        <v>0</v>
      </c>
      <c r="G99" s="113" t="s">
        <v>2</v>
      </c>
      <c r="H99" s="113" t="s">
        <v>2</v>
      </c>
      <c r="I99" s="113" t="s">
        <v>2</v>
      </c>
    </row>
    <row r="100" spans="1:9" s="47" customFormat="1" x14ac:dyDescent="0.2">
      <c r="A100" s="2">
        <v>6</v>
      </c>
      <c r="B100" s="675" t="s">
        <v>18</v>
      </c>
      <c r="C100" s="676"/>
      <c r="D100" s="77">
        <f t="shared" si="2"/>
        <v>500000</v>
      </c>
      <c r="E100" s="65">
        <v>500000</v>
      </c>
      <c r="F100" s="111">
        <v>0</v>
      </c>
      <c r="G100" s="113" t="s">
        <v>113</v>
      </c>
      <c r="H100" s="113" t="s">
        <v>113</v>
      </c>
      <c r="I100" s="113" t="s">
        <v>113</v>
      </c>
    </row>
    <row r="101" spans="1:9" s="27" customFormat="1" x14ac:dyDescent="0.2">
      <c r="A101" s="2">
        <v>7</v>
      </c>
      <c r="B101" s="680" t="s">
        <v>17</v>
      </c>
      <c r="C101" s="681"/>
      <c r="D101" s="77">
        <f t="shared" si="2"/>
        <v>1400000</v>
      </c>
      <c r="E101" s="65">
        <v>1400000</v>
      </c>
      <c r="F101" s="111">
        <v>0</v>
      </c>
      <c r="G101" s="114" t="s">
        <v>114</v>
      </c>
      <c r="H101" s="114" t="s">
        <v>114</v>
      </c>
      <c r="I101" s="114" t="s">
        <v>114</v>
      </c>
    </row>
    <row r="102" spans="1:9" s="47" customFormat="1" x14ac:dyDescent="0.2">
      <c r="A102" s="2">
        <v>8</v>
      </c>
      <c r="B102" s="675" t="s">
        <v>16</v>
      </c>
      <c r="C102" s="676"/>
      <c r="D102" s="77">
        <f t="shared" si="2"/>
        <v>500000</v>
      </c>
      <c r="E102" s="65">
        <v>500000</v>
      </c>
      <c r="F102" s="111">
        <v>0</v>
      </c>
      <c r="G102" s="112" t="s">
        <v>15</v>
      </c>
      <c r="H102" s="112" t="s">
        <v>15</v>
      </c>
      <c r="I102" s="112" t="s">
        <v>15</v>
      </c>
    </row>
    <row r="103" spans="1:9" s="47" customFormat="1" x14ac:dyDescent="0.2">
      <c r="A103" s="2">
        <v>9</v>
      </c>
      <c r="B103" s="675" t="s">
        <v>14</v>
      </c>
      <c r="C103" s="676"/>
      <c r="D103" s="77">
        <f t="shared" si="2"/>
        <v>500000</v>
      </c>
      <c r="E103" s="65">
        <v>500000</v>
      </c>
      <c r="F103" s="111">
        <v>0</v>
      </c>
      <c r="G103" s="112" t="s">
        <v>13</v>
      </c>
      <c r="H103" s="112" t="s">
        <v>13</v>
      </c>
      <c r="I103" s="112" t="s">
        <v>13</v>
      </c>
    </row>
    <row r="104" spans="1:9" s="47" customFormat="1" x14ac:dyDescent="0.2">
      <c r="A104" s="2">
        <v>10</v>
      </c>
      <c r="B104" s="675" t="s">
        <v>12</v>
      </c>
      <c r="C104" s="676"/>
      <c r="D104" s="77">
        <f t="shared" si="2"/>
        <v>1000000</v>
      </c>
      <c r="E104" s="65">
        <v>1000000</v>
      </c>
      <c r="F104" s="111">
        <v>0</v>
      </c>
      <c r="G104" s="112" t="s">
        <v>6</v>
      </c>
      <c r="H104" s="112" t="s">
        <v>6</v>
      </c>
      <c r="I104" s="112" t="s">
        <v>6</v>
      </c>
    </row>
    <row r="105" spans="1:9" s="47" customFormat="1" x14ac:dyDescent="0.2">
      <c r="A105" s="2">
        <v>11</v>
      </c>
      <c r="B105" s="675" t="s">
        <v>11</v>
      </c>
      <c r="C105" s="676"/>
      <c r="D105" s="77">
        <f t="shared" si="2"/>
        <v>500000</v>
      </c>
      <c r="E105" s="65">
        <v>500000</v>
      </c>
      <c r="F105" s="111">
        <v>0</v>
      </c>
      <c r="G105" s="113" t="s">
        <v>10</v>
      </c>
      <c r="H105" s="113" t="s">
        <v>10</v>
      </c>
      <c r="I105" s="113" t="s">
        <v>10</v>
      </c>
    </row>
    <row r="106" spans="1:9" s="47" customFormat="1" x14ac:dyDescent="0.2">
      <c r="A106" s="2">
        <v>12</v>
      </c>
      <c r="B106" s="675" t="s">
        <v>9</v>
      </c>
      <c r="C106" s="676"/>
      <c r="D106" s="77">
        <f t="shared" si="2"/>
        <v>500000</v>
      </c>
      <c r="E106" s="65">
        <v>500000</v>
      </c>
      <c r="F106" s="111">
        <v>0</v>
      </c>
      <c r="G106" s="112" t="s">
        <v>8</v>
      </c>
      <c r="H106" s="112" t="s">
        <v>8</v>
      </c>
      <c r="I106" s="112" t="s">
        <v>8</v>
      </c>
    </row>
    <row r="107" spans="1:9" s="47" customFormat="1" x14ac:dyDescent="0.2">
      <c r="A107" s="2">
        <v>13</v>
      </c>
      <c r="B107" s="675" t="s">
        <v>7</v>
      </c>
      <c r="C107" s="676"/>
      <c r="D107" s="77">
        <f t="shared" si="2"/>
        <v>500000</v>
      </c>
      <c r="E107" s="65">
        <v>500000</v>
      </c>
      <c r="F107" s="111">
        <v>0</v>
      </c>
      <c r="G107" s="112" t="s">
        <v>6</v>
      </c>
      <c r="H107" s="112" t="s">
        <v>6</v>
      </c>
      <c r="I107" s="112" t="s">
        <v>6</v>
      </c>
    </row>
    <row r="108" spans="1:9" s="47" customFormat="1" x14ac:dyDescent="0.2">
      <c r="A108" s="2">
        <v>14</v>
      </c>
      <c r="B108" s="675" t="s">
        <v>5</v>
      </c>
      <c r="C108" s="676"/>
      <c r="D108" s="77">
        <f t="shared" si="2"/>
        <v>300000</v>
      </c>
      <c r="E108" s="65">
        <v>300000</v>
      </c>
      <c r="F108" s="111">
        <v>0</v>
      </c>
      <c r="G108" s="113" t="s">
        <v>115</v>
      </c>
      <c r="H108" s="113" t="s">
        <v>115</v>
      </c>
      <c r="I108" s="113" t="s">
        <v>115</v>
      </c>
    </row>
    <row r="109" spans="1:9" s="47" customFormat="1" x14ac:dyDescent="0.2">
      <c r="A109" s="2">
        <v>15</v>
      </c>
      <c r="B109" s="675" t="s">
        <v>4</v>
      </c>
      <c r="C109" s="676"/>
      <c r="D109" s="77">
        <f t="shared" si="2"/>
        <v>500000</v>
      </c>
      <c r="E109" s="65">
        <v>500000</v>
      </c>
      <c r="F109" s="111">
        <v>0</v>
      </c>
      <c r="G109" s="112" t="s">
        <v>112</v>
      </c>
      <c r="H109" s="112" t="s">
        <v>112</v>
      </c>
      <c r="I109" s="112" t="s">
        <v>112</v>
      </c>
    </row>
    <row r="110" spans="1:9" s="47" customFormat="1" x14ac:dyDescent="0.2">
      <c r="A110" s="2">
        <v>16</v>
      </c>
      <c r="B110" s="675" t="s">
        <v>3</v>
      </c>
      <c r="C110" s="676"/>
      <c r="D110" s="77">
        <f t="shared" si="2"/>
        <v>1000000</v>
      </c>
      <c r="E110" s="65">
        <v>1000000</v>
      </c>
      <c r="F110" s="111">
        <v>0</v>
      </c>
      <c r="G110" s="112" t="s">
        <v>2</v>
      </c>
      <c r="H110" s="112" t="s">
        <v>2</v>
      </c>
      <c r="I110" s="112" t="s">
        <v>2</v>
      </c>
    </row>
    <row r="111" spans="1:9" s="47" customFormat="1" ht="21" customHeight="1" x14ac:dyDescent="0.35">
      <c r="A111" s="677" t="s">
        <v>1</v>
      </c>
      <c r="B111" s="678"/>
      <c r="C111" s="679"/>
      <c r="D111" s="115">
        <v>8000000</v>
      </c>
      <c r="E111" s="116">
        <f>D111</f>
        <v>8000000</v>
      </c>
      <c r="F111" s="115">
        <v>0</v>
      </c>
      <c r="G111" s="117"/>
      <c r="H111" s="117"/>
      <c r="I111" s="117"/>
    </row>
    <row r="112" spans="1:9" x14ac:dyDescent="0.35">
      <c r="A112" s="667" t="s">
        <v>0</v>
      </c>
      <c r="B112" s="668"/>
      <c r="C112" s="669"/>
      <c r="D112" s="21">
        <f>D10+D111</f>
        <v>195006100</v>
      </c>
      <c r="E112" s="22">
        <f>E10+E111</f>
        <v>34732700</v>
      </c>
      <c r="F112" s="21">
        <f>F10+F111</f>
        <v>160273400</v>
      </c>
      <c r="G112" s="23"/>
      <c r="H112" s="23"/>
      <c r="I112" s="23"/>
    </row>
  </sheetData>
  <autoFilter ref="A7:G112">
    <filterColumn colId="0" showButton="0"/>
    <filterColumn colId="3" showButton="0"/>
    <filterColumn colId="4" showButton="0"/>
    <filterColumn colId="5" showButton="0"/>
  </autoFilter>
  <mergeCells count="112">
    <mergeCell ref="A1:G1"/>
    <mergeCell ref="A7:C9"/>
    <mergeCell ref="D7:F8"/>
    <mergeCell ref="G7:G9"/>
    <mergeCell ref="B4:C4"/>
    <mergeCell ref="B16:C16"/>
    <mergeCell ref="B17:C17"/>
    <mergeCell ref="B18:C18"/>
    <mergeCell ref="B19:C19"/>
    <mergeCell ref="B20:C20"/>
    <mergeCell ref="B21:C21"/>
    <mergeCell ref="A10:C10"/>
    <mergeCell ref="A11:C11"/>
    <mergeCell ref="A12:C12"/>
    <mergeCell ref="B13:C13"/>
    <mergeCell ref="B14:C14"/>
    <mergeCell ref="B15:C15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A55:C55"/>
    <mergeCell ref="A56:C56"/>
    <mergeCell ref="B57:C57"/>
    <mergeCell ref="B46:C46"/>
    <mergeCell ref="B47:C47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9:C89"/>
    <mergeCell ref="A90:C90"/>
    <mergeCell ref="A91:C91"/>
    <mergeCell ref="B92:C92"/>
    <mergeCell ref="B93:C93"/>
    <mergeCell ref="B82:C82"/>
    <mergeCell ref="B83:C83"/>
    <mergeCell ref="B84:C84"/>
    <mergeCell ref="B85:C85"/>
    <mergeCell ref="B86:C86"/>
    <mergeCell ref="B87:C87"/>
    <mergeCell ref="A112:C112"/>
    <mergeCell ref="H7:H9"/>
    <mergeCell ref="I7:I9"/>
    <mergeCell ref="A6:I6"/>
    <mergeCell ref="B5:C5"/>
    <mergeCell ref="B106:C106"/>
    <mergeCell ref="B107:C107"/>
    <mergeCell ref="B108:C108"/>
    <mergeCell ref="B109:C109"/>
    <mergeCell ref="B110:C110"/>
    <mergeCell ref="A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</mergeCells>
  <pageMargins left="0.15748031496062992" right="7.874015748031496E-2" top="0.35433070866141736" bottom="0.31496062992125984" header="0.15748031496062992" footer="7.874015748031496E-2"/>
  <pageSetup paperSize="9" orientation="landscape" horizontalDpi="0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3" manualBreakCount="3">
    <brk id="32" max="9" man="1"/>
    <brk id="54" max="9" man="1"/>
    <brk id="8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="80" zoomScaleNormal="80" zoomScaleSheetLayoutView="80" workbookViewId="0">
      <selection activeCell="I14" sqref="I14"/>
    </sheetView>
  </sheetViews>
  <sheetFormatPr defaultRowHeight="21" x14ac:dyDescent="0.2"/>
  <cols>
    <col min="1" max="1" width="3.125" style="155" customWidth="1"/>
    <col min="2" max="2" width="48.875" style="155" customWidth="1"/>
    <col min="3" max="3" width="13.625" style="177" customWidth="1"/>
    <col min="4" max="5" width="12.25" style="177" customWidth="1"/>
    <col min="6" max="6" width="14.875" style="177" bestFit="1" customWidth="1"/>
    <col min="7" max="12" width="12.25" style="177" customWidth="1"/>
    <col min="13" max="13" width="12.25" style="297" customWidth="1"/>
    <col min="14" max="14" width="12.25" style="177" customWidth="1"/>
    <col min="15" max="15" width="15.75" style="178" customWidth="1"/>
    <col min="16" max="16384" width="9" style="155"/>
  </cols>
  <sheetData>
    <row r="1" spans="1:15" ht="20.25" customHeight="1" x14ac:dyDescent="0.2">
      <c r="A1" s="773" t="s">
        <v>156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</row>
    <row r="2" spans="1:15" ht="20.25" customHeight="1" x14ac:dyDescent="0.2">
      <c r="A2" s="773" t="s">
        <v>139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</row>
    <row r="3" spans="1:15" x14ac:dyDescent="0.2">
      <c r="A3" s="156"/>
      <c r="B3" s="156"/>
      <c r="C3" s="774" t="s">
        <v>402</v>
      </c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</row>
    <row r="4" spans="1:15" s="158" customFormat="1" ht="48" customHeight="1" x14ac:dyDescent="0.2">
      <c r="A4" s="780" t="s">
        <v>140</v>
      </c>
      <c r="B4" s="778" t="s">
        <v>141</v>
      </c>
      <c r="C4" s="782" t="s">
        <v>63</v>
      </c>
      <c r="D4" s="783"/>
      <c r="E4" s="784"/>
      <c r="F4" s="782" t="s">
        <v>184</v>
      </c>
      <c r="G4" s="783"/>
      <c r="H4" s="783"/>
      <c r="I4" s="783"/>
      <c r="J4" s="784"/>
      <c r="K4" s="782" t="s">
        <v>189</v>
      </c>
      <c r="L4" s="783"/>
      <c r="M4" s="784"/>
      <c r="N4" s="787" t="s">
        <v>190</v>
      </c>
      <c r="O4" s="785" t="s">
        <v>142</v>
      </c>
    </row>
    <row r="5" spans="1:15" s="158" customFormat="1" ht="42" x14ac:dyDescent="0.2">
      <c r="A5" s="781"/>
      <c r="B5" s="779"/>
      <c r="C5" s="157" t="s">
        <v>153</v>
      </c>
      <c r="D5" s="157" t="s">
        <v>154</v>
      </c>
      <c r="E5" s="157" t="s">
        <v>155</v>
      </c>
      <c r="F5" s="157" t="s">
        <v>181</v>
      </c>
      <c r="G5" s="157" t="s">
        <v>182</v>
      </c>
      <c r="H5" s="157" t="s">
        <v>183</v>
      </c>
      <c r="I5" s="157" t="s">
        <v>180</v>
      </c>
      <c r="J5" s="665" t="s">
        <v>185</v>
      </c>
      <c r="K5" s="157" t="s">
        <v>186</v>
      </c>
      <c r="L5" s="157" t="s">
        <v>187</v>
      </c>
      <c r="M5" s="288" t="s">
        <v>188</v>
      </c>
      <c r="N5" s="788"/>
      <c r="O5" s="786"/>
    </row>
    <row r="6" spans="1:15" x14ac:dyDescent="0.2">
      <c r="A6" s="762" t="s">
        <v>143</v>
      </c>
      <c r="B6" s="775"/>
      <c r="C6" s="159">
        <f>C7+C11</f>
        <v>70979000</v>
      </c>
      <c r="D6" s="159">
        <f>D7+D11</f>
        <v>70979000</v>
      </c>
      <c r="E6" s="159">
        <f>E7+E11</f>
        <v>0</v>
      </c>
      <c r="F6" s="159"/>
      <c r="G6" s="159"/>
      <c r="H6" s="159"/>
      <c r="I6" s="159">
        <f>I7+I11</f>
        <v>37350000</v>
      </c>
      <c r="J6" s="159">
        <f>J7+J11</f>
        <v>129000</v>
      </c>
      <c r="K6" s="159">
        <f>K7+K11</f>
        <v>773639.48</v>
      </c>
      <c r="L6" s="159">
        <f>L7+L11</f>
        <v>70205360.519999996</v>
      </c>
      <c r="M6" s="289">
        <f>K6/C6*100</f>
        <v>1.0899554516124488</v>
      </c>
      <c r="N6" s="159"/>
      <c r="O6" s="160"/>
    </row>
    <row r="7" spans="1:15" ht="90" customHeight="1" x14ac:dyDescent="0.2">
      <c r="A7" s="776" t="s">
        <v>178</v>
      </c>
      <c r="B7" s="777"/>
      <c r="C7" s="161">
        <f>C8</f>
        <v>8500000</v>
      </c>
      <c r="D7" s="161">
        <f t="shared" ref="C7:E8" si="0">D8</f>
        <v>8500000</v>
      </c>
      <c r="E7" s="161">
        <f t="shared" si="0"/>
        <v>0</v>
      </c>
      <c r="F7" s="161"/>
      <c r="G7" s="161"/>
      <c r="H7" s="161"/>
      <c r="I7" s="161">
        <f>I8</f>
        <v>0</v>
      </c>
      <c r="J7" s="161">
        <f t="shared" ref="J7:L9" si="1">J8</f>
        <v>0</v>
      </c>
      <c r="K7" s="161">
        <f t="shared" si="1"/>
        <v>0</v>
      </c>
      <c r="L7" s="161">
        <f t="shared" si="1"/>
        <v>8500000</v>
      </c>
      <c r="M7" s="290"/>
      <c r="N7" s="161"/>
      <c r="O7" s="162"/>
    </row>
    <row r="8" spans="1:15" ht="65.25" customHeight="1" x14ac:dyDescent="0.2">
      <c r="A8" s="771" t="s">
        <v>152</v>
      </c>
      <c r="B8" s="772"/>
      <c r="C8" s="163">
        <f t="shared" si="0"/>
        <v>8500000</v>
      </c>
      <c r="D8" s="163">
        <f t="shared" si="0"/>
        <v>8500000</v>
      </c>
      <c r="E8" s="163">
        <f t="shared" si="0"/>
        <v>0</v>
      </c>
      <c r="F8" s="163"/>
      <c r="G8" s="163"/>
      <c r="H8" s="163"/>
      <c r="I8" s="163">
        <f>I9</f>
        <v>0</v>
      </c>
      <c r="J8" s="163">
        <f t="shared" si="1"/>
        <v>0</v>
      </c>
      <c r="K8" s="163">
        <f t="shared" si="1"/>
        <v>0</v>
      </c>
      <c r="L8" s="163">
        <f t="shared" si="1"/>
        <v>8500000</v>
      </c>
      <c r="M8" s="291"/>
      <c r="N8" s="163"/>
      <c r="O8" s="164"/>
    </row>
    <row r="9" spans="1:15" x14ac:dyDescent="0.2">
      <c r="A9" s="764" t="s">
        <v>144</v>
      </c>
      <c r="B9" s="765"/>
      <c r="C9" s="165">
        <f>C10</f>
        <v>8500000</v>
      </c>
      <c r="D9" s="165">
        <f>D10</f>
        <v>8500000</v>
      </c>
      <c r="E9" s="165">
        <f>E10</f>
        <v>0</v>
      </c>
      <c r="F9" s="165"/>
      <c r="G9" s="165"/>
      <c r="H9" s="165"/>
      <c r="I9" s="165">
        <f>I10</f>
        <v>0</v>
      </c>
      <c r="J9" s="165">
        <f t="shared" si="1"/>
        <v>0</v>
      </c>
      <c r="K9" s="165">
        <f t="shared" si="1"/>
        <v>0</v>
      </c>
      <c r="L9" s="165">
        <f t="shared" si="1"/>
        <v>8500000</v>
      </c>
      <c r="M9" s="292"/>
      <c r="N9" s="165"/>
      <c r="O9" s="166"/>
    </row>
    <row r="10" spans="1:15" ht="42" x14ac:dyDescent="0.2">
      <c r="A10" s="167">
        <v>1</v>
      </c>
      <c r="B10" s="181" t="s">
        <v>147</v>
      </c>
      <c r="C10" s="179">
        <v>8500000</v>
      </c>
      <c r="D10" s="179">
        <v>8500000</v>
      </c>
      <c r="E10" s="179">
        <v>0</v>
      </c>
      <c r="F10" s="287" t="s">
        <v>403</v>
      </c>
      <c r="G10" s="179"/>
      <c r="H10" s="179"/>
      <c r="I10" s="179"/>
      <c r="J10" s="179"/>
      <c r="K10" s="179"/>
      <c r="L10" s="179">
        <f>D10-K10</f>
        <v>8500000</v>
      </c>
      <c r="M10" s="293"/>
      <c r="N10" s="179"/>
      <c r="O10" s="168" t="s">
        <v>13</v>
      </c>
    </row>
    <row r="11" spans="1:15" ht="67.5" customHeight="1" x14ac:dyDescent="0.2">
      <c r="A11" s="766" t="s">
        <v>148</v>
      </c>
      <c r="B11" s="766"/>
      <c r="C11" s="169">
        <f t="shared" ref="C11:E12" si="2">C12</f>
        <v>62479000</v>
      </c>
      <c r="D11" s="169">
        <f t="shared" si="2"/>
        <v>62479000</v>
      </c>
      <c r="E11" s="169">
        <f t="shared" si="2"/>
        <v>0</v>
      </c>
      <c r="F11" s="169"/>
      <c r="G11" s="169"/>
      <c r="H11" s="169"/>
      <c r="I11" s="169">
        <f>I12</f>
        <v>37350000</v>
      </c>
      <c r="J11" s="169">
        <f t="shared" ref="J11:L12" si="3">J12</f>
        <v>129000</v>
      </c>
      <c r="K11" s="169">
        <f t="shared" si="3"/>
        <v>773639.48</v>
      </c>
      <c r="L11" s="169">
        <f t="shared" si="3"/>
        <v>61705360.519999996</v>
      </c>
      <c r="M11" s="294">
        <f>K11/C11*100</f>
        <v>1.2382392163767024</v>
      </c>
      <c r="N11" s="169"/>
      <c r="O11" s="170"/>
    </row>
    <row r="12" spans="1:15" ht="45.75" customHeight="1" x14ac:dyDescent="0.2">
      <c r="A12" s="767" t="s">
        <v>146</v>
      </c>
      <c r="B12" s="768"/>
      <c r="C12" s="171">
        <f t="shared" si="2"/>
        <v>62479000</v>
      </c>
      <c r="D12" s="171">
        <f t="shared" si="2"/>
        <v>62479000</v>
      </c>
      <c r="E12" s="171">
        <f t="shared" si="2"/>
        <v>0</v>
      </c>
      <c r="F12" s="171"/>
      <c r="G12" s="171"/>
      <c r="H12" s="171"/>
      <c r="I12" s="171">
        <f>I13</f>
        <v>37350000</v>
      </c>
      <c r="J12" s="171">
        <f t="shared" si="3"/>
        <v>129000</v>
      </c>
      <c r="K12" s="171">
        <f t="shared" si="3"/>
        <v>773639.48</v>
      </c>
      <c r="L12" s="171">
        <f t="shared" si="3"/>
        <v>61705360.519999996</v>
      </c>
      <c r="M12" s="295">
        <f>K12/C12*100</f>
        <v>1.2382392163767024</v>
      </c>
      <c r="N12" s="171"/>
      <c r="O12" s="172"/>
    </row>
    <row r="13" spans="1:15" ht="45" customHeight="1" x14ac:dyDescent="0.2">
      <c r="A13" s="769" t="s">
        <v>149</v>
      </c>
      <c r="B13" s="770"/>
      <c r="C13" s="173">
        <f>C14+C15</f>
        <v>62479000</v>
      </c>
      <c r="D13" s="173">
        <f>D14+D15</f>
        <v>62479000</v>
      </c>
      <c r="E13" s="173">
        <f>E14+E15</f>
        <v>0</v>
      </c>
      <c r="F13" s="173"/>
      <c r="G13" s="173"/>
      <c r="H13" s="173"/>
      <c r="I13" s="173">
        <f>I14+I15</f>
        <v>37350000</v>
      </c>
      <c r="J13" s="173">
        <f>J14+J15</f>
        <v>129000</v>
      </c>
      <c r="K13" s="173">
        <f>K14+K15</f>
        <v>773639.48</v>
      </c>
      <c r="L13" s="173">
        <f>L14+L15</f>
        <v>61705360.519999996</v>
      </c>
      <c r="M13" s="296">
        <f>K13/C13*100</f>
        <v>1.2382392163767024</v>
      </c>
      <c r="N13" s="173"/>
      <c r="O13" s="174"/>
    </row>
    <row r="14" spans="1:15" ht="42" x14ac:dyDescent="0.2">
      <c r="A14" s="180">
        <v>1</v>
      </c>
      <c r="B14" s="176" t="s">
        <v>150</v>
      </c>
      <c r="C14" s="179">
        <v>37479000</v>
      </c>
      <c r="D14" s="179">
        <v>37479000</v>
      </c>
      <c r="E14" s="179">
        <v>0</v>
      </c>
      <c r="F14" s="213" t="s">
        <v>404</v>
      </c>
      <c r="G14" s="664" t="s">
        <v>405</v>
      </c>
      <c r="H14" s="664" t="s">
        <v>406</v>
      </c>
      <c r="I14" s="179">
        <v>37350000</v>
      </c>
      <c r="J14" s="179">
        <f>D14-I14</f>
        <v>129000</v>
      </c>
      <c r="K14" s="179"/>
      <c r="L14" s="179">
        <f>D14-K14</f>
        <v>37479000</v>
      </c>
      <c r="M14" s="293"/>
      <c r="N14" s="179"/>
      <c r="O14" s="175" t="s">
        <v>145</v>
      </c>
    </row>
    <row r="15" spans="1:15" ht="42" x14ac:dyDescent="0.2">
      <c r="A15" s="180">
        <v>2</v>
      </c>
      <c r="B15" s="176" t="s">
        <v>151</v>
      </c>
      <c r="C15" s="179">
        <v>25000000</v>
      </c>
      <c r="D15" s="179">
        <v>25000000</v>
      </c>
      <c r="E15" s="179">
        <v>0</v>
      </c>
      <c r="F15" s="287" t="s">
        <v>313</v>
      </c>
      <c r="G15" s="179"/>
      <c r="H15" s="286"/>
      <c r="I15" s="179"/>
      <c r="J15" s="179"/>
      <c r="K15" s="179">
        <f>99910+99999.88+489846+47610+36273.6</f>
        <v>773639.48</v>
      </c>
      <c r="L15" s="179">
        <f>D15-K15</f>
        <v>24226360.52</v>
      </c>
      <c r="M15" s="293">
        <f>K15/D15*100</f>
        <v>3.0945579200000002</v>
      </c>
      <c r="N15" s="179"/>
      <c r="O15" s="175" t="s">
        <v>51</v>
      </c>
    </row>
    <row r="16" spans="1:15" ht="21" customHeight="1" x14ac:dyDescent="0.2">
      <c r="A16" s="762" t="s">
        <v>143</v>
      </c>
      <c r="B16" s="763"/>
      <c r="C16" s="159">
        <f>C6</f>
        <v>70979000</v>
      </c>
      <c r="D16" s="159">
        <f>D6</f>
        <v>70979000</v>
      </c>
      <c r="E16" s="159">
        <f t="shared" ref="E16:L16" si="4">E6</f>
        <v>0</v>
      </c>
      <c r="F16" s="159">
        <f t="shared" si="4"/>
        <v>0</v>
      </c>
      <c r="G16" s="159">
        <f t="shared" si="4"/>
        <v>0</v>
      </c>
      <c r="H16" s="159">
        <f t="shared" si="4"/>
        <v>0</v>
      </c>
      <c r="I16" s="159">
        <f t="shared" si="4"/>
        <v>37350000</v>
      </c>
      <c r="J16" s="159">
        <f t="shared" si="4"/>
        <v>129000</v>
      </c>
      <c r="K16" s="159">
        <f t="shared" si="4"/>
        <v>773639.48</v>
      </c>
      <c r="L16" s="159">
        <f t="shared" si="4"/>
        <v>70205360.519999996</v>
      </c>
      <c r="M16" s="289">
        <f>K16/C16*100</f>
        <v>1.0899554516124488</v>
      </c>
      <c r="N16" s="159"/>
      <c r="O16" s="159"/>
    </row>
  </sheetData>
  <mergeCells count="18">
    <mergeCell ref="A8:B8"/>
    <mergeCell ref="A1:O1"/>
    <mergeCell ref="A2:O2"/>
    <mergeCell ref="C3:O3"/>
    <mergeCell ref="A6:B6"/>
    <mergeCell ref="A7:B7"/>
    <mergeCell ref="B4:B5"/>
    <mergeCell ref="A4:A5"/>
    <mergeCell ref="C4:E4"/>
    <mergeCell ref="F4:J4"/>
    <mergeCell ref="K4:M4"/>
    <mergeCell ref="O4:O5"/>
    <mergeCell ref="N4:N5"/>
    <mergeCell ref="A16:B16"/>
    <mergeCell ref="A9:B9"/>
    <mergeCell ref="A11:B11"/>
    <mergeCell ref="A12:B12"/>
    <mergeCell ref="A13:B13"/>
  </mergeCells>
  <pageMargins left="0.39370078740157483" right="0.15748031496062992" top="0.62992125984251968" bottom="0.62992125984251968" header="0.31496062992125984" footer="0.31496062992125984"/>
  <pageSetup paperSize="9" scale="59" orientation="landscape" verticalDpi="0" r:id="rId1"/>
  <headerFooter>
    <oddFooter>&amp;C&amp;"TH SarabunPSK,ธรรมดา"&amp;Z&amp;F&amp;R&amp;"TH SarabunPSK,ธรรมดา"หน้าที่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view="pageBreakPreview" zoomScale="70" zoomScaleNormal="70" zoomScaleSheetLayoutView="70" workbookViewId="0">
      <selection activeCell="A2" sqref="A2:Q2"/>
    </sheetView>
  </sheetViews>
  <sheetFormatPr defaultRowHeight="18.75" x14ac:dyDescent="0.3"/>
  <cols>
    <col min="1" max="1" width="3" style="559" bestFit="1" customWidth="1"/>
    <col min="2" max="2" width="33.625" style="560" customWidth="1"/>
    <col min="3" max="3" width="5.875" style="560" customWidth="1"/>
    <col min="4" max="4" width="11.25" style="304" bestFit="1" customWidth="1"/>
    <col min="5" max="5" width="11.625" style="304" customWidth="1"/>
    <col min="6" max="6" width="12" style="304" customWidth="1"/>
    <col min="7" max="7" width="11.5" style="627" customWidth="1"/>
    <col min="8" max="8" width="13.625" style="304" bestFit="1" customWidth="1"/>
    <col min="9" max="9" width="13.125" style="301" bestFit="1" customWidth="1"/>
    <col min="10" max="10" width="13.625" style="561" bestFit="1" customWidth="1"/>
    <col min="11" max="11" width="12.875" style="561" customWidth="1"/>
    <col min="12" max="12" width="11.75" style="561" customWidth="1"/>
    <col min="13" max="13" width="16.5" style="563" bestFit="1" customWidth="1"/>
    <col min="14" max="14" width="16.5" style="561" customWidth="1"/>
    <col min="15" max="15" width="9.625" style="564" bestFit="1" customWidth="1"/>
    <col min="16" max="16" width="13.75" style="561" bestFit="1" customWidth="1"/>
    <col min="17" max="17" width="18" style="304" customWidth="1"/>
    <col min="18" max="18" width="11" style="304" bestFit="1" customWidth="1"/>
    <col min="19" max="19" width="9.25" style="304" bestFit="1" customWidth="1"/>
    <col min="20" max="20" width="11.875" style="305" bestFit="1" customWidth="1"/>
    <col min="21" max="21" width="14.375" style="305" bestFit="1" customWidth="1"/>
    <col min="22" max="16384" width="9" style="305"/>
  </cols>
  <sheetData>
    <row r="1" spans="1:21" x14ac:dyDescent="0.3">
      <c r="A1" s="866" t="s">
        <v>65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303"/>
    </row>
    <row r="2" spans="1:21" x14ac:dyDescent="0.3">
      <c r="A2" s="830" t="s">
        <v>407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</row>
    <row r="3" spans="1:21" x14ac:dyDescent="0.3">
      <c r="A3" s="867" t="s">
        <v>64</v>
      </c>
      <c r="B3" s="868"/>
      <c r="C3" s="869"/>
      <c r="D3" s="800" t="s">
        <v>362</v>
      </c>
      <c r="E3" s="800"/>
      <c r="F3" s="800"/>
      <c r="G3" s="793" t="s">
        <v>184</v>
      </c>
      <c r="H3" s="794"/>
      <c r="I3" s="794"/>
      <c r="J3" s="794"/>
      <c r="K3" s="795"/>
      <c r="L3" s="793" t="s">
        <v>189</v>
      </c>
      <c r="M3" s="794"/>
      <c r="N3" s="794"/>
      <c r="O3" s="795"/>
      <c r="P3" s="878" t="s">
        <v>378</v>
      </c>
      <c r="Q3" s="835" t="s">
        <v>330</v>
      </c>
    </row>
    <row r="4" spans="1:21" ht="21.75" customHeight="1" x14ac:dyDescent="0.3">
      <c r="A4" s="870"/>
      <c r="B4" s="871"/>
      <c r="C4" s="872"/>
      <c r="D4" s="801" t="s">
        <v>62</v>
      </c>
      <c r="E4" s="801" t="s">
        <v>61</v>
      </c>
      <c r="F4" s="801" t="s">
        <v>60</v>
      </c>
      <c r="G4" s="807" t="s">
        <v>361</v>
      </c>
      <c r="H4" s="803" t="s">
        <v>334</v>
      </c>
      <c r="I4" s="803" t="s">
        <v>183</v>
      </c>
      <c r="J4" s="796" t="s">
        <v>328</v>
      </c>
      <c r="K4" s="796" t="s">
        <v>329</v>
      </c>
      <c r="L4" s="796" t="s">
        <v>363</v>
      </c>
      <c r="M4" s="881" t="s">
        <v>186</v>
      </c>
      <c r="N4" s="796" t="s">
        <v>187</v>
      </c>
      <c r="O4" s="805" t="s">
        <v>188</v>
      </c>
      <c r="P4" s="879"/>
      <c r="Q4" s="836"/>
    </row>
    <row r="5" spans="1:21" ht="58.5" customHeight="1" x14ac:dyDescent="0.3">
      <c r="A5" s="873"/>
      <c r="B5" s="874"/>
      <c r="C5" s="875"/>
      <c r="D5" s="802"/>
      <c r="E5" s="802"/>
      <c r="F5" s="802"/>
      <c r="G5" s="808"/>
      <c r="H5" s="804"/>
      <c r="I5" s="804"/>
      <c r="J5" s="797"/>
      <c r="K5" s="797"/>
      <c r="L5" s="797"/>
      <c r="M5" s="882"/>
      <c r="N5" s="797"/>
      <c r="O5" s="806"/>
      <c r="P5" s="880"/>
      <c r="Q5" s="837"/>
      <c r="U5" s="306"/>
    </row>
    <row r="6" spans="1:21" s="315" customFormat="1" x14ac:dyDescent="0.3">
      <c r="A6" s="827" t="s">
        <v>117</v>
      </c>
      <c r="B6" s="828"/>
      <c r="C6" s="829"/>
      <c r="D6" s="307">
        <f>E6+F6</f>
        <v>195006100</v>
      </c>
      <c r="E6" s="307">
        <f>E7+E49+E90+E125</f>
        <v>34732700</v>
      </c>
      <c r="F6" s="307">
        <f>F7+F49+F90+F125</f>
        <v>160273400</v>
      </c>
      <c r="G6" s="604"/>
      <c r="H6" s="307"/>
      <c r="I6" s="565"/>
      <c r="J6" s="308">
        <f>J7+J49+J90+J125</f>
        <v>146946873.53999999</v>
      </c>
      <c r="K6" s="308">
        <f>K7+K49+K90+K125</f>
        <v>10446626.460000001</v>
      </c>
      <c r="L6" s="308"/>
      <c r="M6" s="309">
        <f>M7+M49+M90+M125</f>
        <v>57590205.960000001</v>
      </c>
      <c r="N6" s="308">
        <f>N7+N49+N90+N125</f>
        <v>127518312.88</v>
      </c>
      <c r="O6" s="310">
        <f>M6/D6*100</f>
        <v>29.532515116193803</v>
      </c>
      <c r="P6" s="311">
        <f>P7+P49+P90+P111+P119</f>
        <v>4279039.6999999993</v>
      </c>
      <c r="Q6" s="312"/>
      <c r="R6" s="313"/>
      <c r="S6" s="313"/>
      <c r="T6" s="313"/>
      <c r="U6" s="314"/>
    </row>
    <row r="7" spans="1:21" s="321" customFormat="1" x14ac:dyDescent="0.3">
      <c r="A7" s="814" t="s">
        <v>59</v>
      </c>
      <c r="B7" s="815"/>
      <c r="C7" s="816"/>
      <c r="D7" s="316">
        <f>D9+D15+D17+D35+D45+D112</f>
        <v>140234800</v>
      </c>
      <c r="E7" s="316">
        <f>E9+E15+E17+E35+E45+E112</f>
        <v>5774400</v>
      </c>
      <c r="F7" s="316">
        <f>F9+F15+F17+F35+F45+F112</f>
        <v>134460400</v>
      </c>
      <c r="G7" s="605"/>
      <c r="H7" s="316"/>
      <c r="I7" s="566"/>
      <c r="J7" s="317">
        <f>J8</f>
        <v>123177406.84999999</v>
      </c>
      <c r="K7" s="317">
        <f>K8</f>
        <v>8732093.1500000004</v>
      </c>
      <c r="L7" s="317"/>
      <c r="M7" s="316">
        <f>M8</f>
        <v>29135219.740000002</v>
      </c>
      <c r="N7" s="317">
        <f>N8</f>
        <v>103245532.41</v>
      </c>
      <c r="O7" s="318">
        <f>M7*100/D7</f>
        <v>20.776026877779266</v>
      </c>
      <c r="P7" s="317">
        <f>P8</f>
        <v>3109854.6999999997</v>
      </c>
      <c r="Q7" s="319"/>
      <c r="R7" s="320"/>
      <c r="S7" s="313"/>
      <c r="U7" s="314"/>
    </row>
    <row r="8" spans="1:21" s="315" customFormat="1" x14ac:dyDescent="0.3">
      <c r="A8" s="817" t="s">
        <v>70</v>
      </c>
      <c r="B8" s="818"/>
      <c r="C8" s="819"/>
      <c r="D8" s="322">
        <f>E8+F8</f>
        <v>140234800</v>
      </c>
      <c r="E8" s="322">
        <f>E9+E15+E17+E35+E45</f>
        <v>5774400</v>
      </c>
      <c r="F8" s="322">
        <f>F9+F15+F17+F35+F45+F111</f>
        <v>134460400</v>
      </c>
      <c r="G8" s="606"/>
      <c r="H8" s="322"/>
      <c r="I8" s="567"/>
      <c r="J8" s="323">
        <f>J9+J15+J17+J35+J45+J111</f>
        <v>123177406.84999999</v>
      </c>
      <c r="K8" s="323">
        <f>K9+K15+K17+K35+K45+K111</f>
        <v>8732093.1500000004</v>
      </c>
      <c r="L8" s="323"/>
      <c r="M8" s="324">
        <f>M9+M15+M17+M35+M45+M111</f>
        <v>29135219.740000002</v>
      </c>
      <c r="N8" s="323">
        <f>N9+N15+N17+N35+N45+N111</f>
        <v>103245532.41</v>
      </c>
      <c r="O8" s="325">
        <f>M8*100/D8</f>
        <v>20.776026877779266</v>
      </c>
      <c r="P8" s="323">
        <f>P9+P15+P17+P35+P45+P111</f>
        <v>3109854.6999999997</v>
      </c>
      <c r="Q8" s="326"/>
      <c r="R8" s="327"/>
      <c r="S8" s="313"/>
      <c r="U8" s="314"/>
    </row>
    <row r="9" spans="1:21" s="315" customFormat="1" x14ac:dyDescent="0.3">
      <c r="A9" s="328"/>
      <c r="B9" s="820" t="s">
        <v>58</v>
      </c>
      <c r="C9" s="821"/>
      <c r="D9" s="329">
        <f>SUM(D10:D14)</f>
        <v>2164000</v>
      </c>
      <c r="E9" s="322">
        <f>SUM(E10:E14)</f>
        <v>2164000</v>
      </c>
      <c r="F9" s="322">
        <f>SUM(F10:F14)</f>
        <v>0</v>
      </c>
      <c r="G9" s="606"/>
      <c r="H9" s="322"/>
      <c r="I9" s="567"/>
      <c r="J9" s="323">
        <f>SUM(J10:J14)</f>
        <v>0</v>
      </c>
      <c r="K9" s="323">
        <f>SUM(K10:K14)</f>
        <v>0</v>
      </c>
      <c r="L9" s="323"/>
      <c r="M9" s="324">
        <f>SUM(M10:M14)</f>
        <v>829873.64</v>
      </c>
      <c r="N9" s="323">
        <f>SUM(N10:N14)</f>
        <v>1321205</v>
      </c>
      <c r="O9" s="325">
        <f t="shared" ref="O9:O14" si="0">M9*100/E9</f>
        <v>38.349059149722734</v>
      </c>
      <c r="P9" s="323">
        <f>P10+P11+P12+P13+P14</f>
        <v>12921.359999999986</v>
      </c>
      <c r="Q9" s="330"/>
      <c r="R9" s="327"/>
      <c r="S9" s="313"/>
      <c r="U9" s="314"/>
    </row>
    <row r="10" spans="1:21" s="321" customFormat="1" x14ac:dyDescent="0.3">
      <c r="A10" s="331">
        <v>1</v>
      </c>
      <c r="B10" s="876" t="s">
        <v>71</v>
      </c>
      <c r="C10" s="877"/>
      <c r="D10" s="332">
        <f>E10+F10</f>
        <v>509000</v>
      </c>
      <c r="E10" s="332">
        <v>509000</v>
      </c>
      <c r="F10" s="332">
        <v>0</v>
      </c>
      <c r="G10" s="332">
        <v>509000</v>
      </c>
      <c r="H10" s="332" t="s">
        <v>61</v>
      </c>
      <c r="I10" s="568"/>
      <c r="J10" s="334"/>
      <c r="K10" s="334"/>
      <c r="L10" s="334"/>
      <c r="M10" s="335">
        <v>0</v>
      </c>
      <c r="N10" s="334">
        <f>E10-M10</f>
        <v>509000</v>
      </c>
      <c r="O10" s="336">
        <f t="shared" si="0"/>
        <v>0</v>
      </c>
      <c r="P10" s="334">
        <v>0</v>
      </c>
      <c r="Q10" s="337" t="s">
        <v>342</v>
      </c>
      <c r="R10" s="320"/>
      <c r="S10" s="313"/>
      <c r="U10" s="314"/>
    </row>
    <row r="11" spans="1:21" s="344" customFormat="1" x14ac:dyDescent="0.3">
      <c r="A11" s="331">
        <v>2</v>
      </c>
      <c r="B11" s="851" t="s">
        <v>72</v>
      </c>
      <c r="C11" s="852"/>
      <c r="D11" s="332">
        <f>E11+F11</f>
        <v>629000</v>
      </c>
      <c r="E11" s="338">
        <v>629000</v>
      </c>
      <c r="F11" s="338">
        <v>0</v>
      </c>
      <c r="G11" s="338">
        <v>629000</v>
      </c>
      <c r="H11" s="332" t="s">
        <v>61</v>
      </c>
      <c r="I11" s="569"/>
      <c r="J11" s="339"/>
      <c r="K11" s="339"/>
      <c r="L11" s="339"/>
      <c r="M11" s="340">
        <f>10800+10000+10800+1400+54000+7500+76000-(54000)</f>
        <v>116500</v>
      </c>
      <c r="N11" s="334">
        <f>E11-M11</f>
        <v>512500</v>
      </c>
      <c r="O11" s="341">
        <f t="shared" si="0"/>
        <v>18.521462639109696</v>
      </c>
      <c r="P11" s="339">
        <v>0</v>
      </c>
      <c r="Q11" s="342" t="s">
        <v>341</v>
      </c>
      <c r="R11" s="343"/>
      <c r="S11" s="313"/>
      <c r="U11" s="314"/>
    </row>
    <row r="12" spans="1:21" s="344" customFormat="1" x14ac:dyDescent="0.3">
      <c r="A12" s="331">
        <v>3</v>
      </c>
      <c r="B12" s="851" t="s">
        <v>56</v>
      </c>
      <c r="C12" s="852"/>
      <c r="D12" s="332">
        <f>E12+F12</f>
        <v>481000</v>
      </c>
      <c r="E12" s="338">
        <v>481000</v>
      </c>
      <c r="F12" s="338">
        <v>0</v>
      </c>
      <c r="G12" s="338">
        <v>481000</v>
      </c>
      <c r="H12" s="332" t="s">
        <v>61</v>
      </c>
      <c r="I12" s="569"/>
      <c r="J12" s="339"/>
      <c r="K12" s="339"/>
      <c r="L12" s="339"/>
      <c r="M12" s="340">
        <f>120250+12680+107570+12680</f>
        <v>253180</v>
      </c>
      <c r="N12" s="334">
        <f>E12-M12</f>
        <v>227820</v>
      </c>
      <c r="O12" s="341">
        <f t="shared" si="0"/>
        <v>52.636174636174637</v>
      </c>
      <c r="P12" s="339">
        <v>0</v>
      </c>
      <c r="Q12" s="342" t="s">
        <v>73</v>
      </c>
      <c r="R12" s="343"/>
      <c r="S12" s="313"/>
      <c r="U12" s="314"/>
    </row>
    <row r="13" spans="1:21" s="321" customFormat="1" ht="37.5" x14ac:dyDescent="0.3">
      <c r="A13" s="331">
        <v>4</v>
      </c>
      <c r="B13" s="851" t="s">
        <v>74</v>
      </c>
      <c r="C13" s="852"/>
      <c r="D13" s="332">
        <v>440000</v>
      </c>
      <c r="E13" s="332">
        <v>440000</v>
      </c>
      <c r="F13" s="332">
        <v>0</v>
      </c>
      <c r="G13" s="332">
        <v>440000</v>
      </c>
      <c r="H13" s="332" t="s">
        <v>61</v>
      </c>
      <c r="I13" s="568"/>
      <c r="J13" s="334"/>
      <c r="K13" s="334"/>
      <c r="L13" s="334"/>
      <c r="M13" s="335">
        <f>336000+91528.64-(450)</f>
        <v>427078.64</v>
      </c>
      <c r="N13" s="334">
        <f>D13-M13-P13</f>
        <v>0</v>
      </c>
      <c r="O13" s="336">
        <v>100</v>
      </c>
      <c r="P13" s="334">
        <v>12921.359999999986</v>
      </c>
      <c r="Q13" s="342" t="s">
        <v>343</v>
      </c>
      <c r="R13" s="320"/>
      <c r="S13" s="313"/>
      <c r="U13" s="314"/>
    </row>
    <row r="14" spans="1:21" s="321" customFormat="1" ht="56.25" x14ac:dyDescent="0.3">
      <c r="A14" s="331">
        <v>5</v>
      </c>
      <c r="B14" s="851" t="s">
        <v>76</v>
      </c>
      <c r="C14" s="852"/>
      <c r="D14" s="332">
        <f>E14+F14</f>
        <v>105000</v>
      </c>
      <c r="E14" s="338">
        <v>105000</v>
      </c>
      <c r="F14" s="338">
        <v>0</v>
      </c>
      <c r="G14" s="338">
        <v>105000</v>
      </c>
      <c r="H14" s="332" t="s">
        <v>61</v>
      </c>
      <c r="I14" s="569"/>
      <c r="J14" s="339"/>
      <c r="K14" s="339"/>
      <c r="L14" s="339"/>
      <c r="M14" s="340">
        <f>31400+1715</f>
        <v>33115</v>
      </c>
      <c r="N14" s="334">
        <f>E14-M14</f>
        <v>71885</v>
      </c>
      <c r="O14" s="336">
        <f t="shared" si="0"/>
        <v>31.538095238095238</v>
      </c>
      <c r="P14" s="339">
        <v>0</v>
      </c>
      <c r="Q14" s="342" t="s">
        <v>344</v>
      </c>
      <c r="R14" s="320"/>
      <c r="S14" s="313"/>
      <c r="U14" s="314"/>
    </row>
    <row r="15" spans="1:21" s="352" customFormat="1" x14ac:dyDescent="0.3">
      <c r="A15" s="345"/>
      <c r="B15" s="820" t="s">
        <v>55</v>
      </c>
      <c r="C15" s="821"/>
      <c r="D15" s="346">
        <f>SUM(D16)</f>
        <v>2412000</v>
      </c>
      <c r="E15" s="347">
        <f>E16</f>
        <v>2412000</v>
      </c>
      <c r="F15" s="347">
        <f>F16</f>
        <v>0</v>
      </c>
      <c r="G15" s="607"/>
      <c r="H15" s="347"/>
      <c r="I15" s="570"/>
      <c r="J15" s="348">
        <f t="shared" ref="J15:P15" si="1">J16</f>
        <v>0</v>
      </c>
      <c r="K15" s="348">
        <f t="shared" si="1"/>
        <v>0</v>
      </c>
      <c r="L15" s="348"/>
      <c r="M15" s="347">
        <f t="shared" si="1"/>
        <v>114650</v>
      </c>
      <c r="N15" s="348">
        <f t="shared" si="1"/>
        <v>2297350</v>
      </c>
      <c r="O15" s="349">
        <f>M15/E15*100</f>
        <v>4.7533167495854061</v>
      </c>
      <c r="P15" s="348">
        <f t="shared" si="1"/>
        <v>0</v>
      </c>
      <c r="Q15" s="350"/>
      <c r="R15" s="351"/>
      <c r="S15" s="313"/>
      <c r="U15" s="314"/>
    </row>
    <row r="16" spans="1:21" s="344" customFormat="1" ht="37.5" x14ac:dyDescent="0.3">
      <c r="A16" s="353">
        <v>6</v>
      </c>
      <c r="B16" s="851" t="s">
        <v>54</v>
      </c>
      <c r="C16" s="852"/>
      <c r="D16" s="332">
        <f>E16+F16</f>
        <v>2412000</v>
      </c>
      <c r="E16" s="332">
        <v>2412000</v>
      </c>
      <c r="F16" s="332">
        <v>0</v>
      </c>
      <c r="G16" s="332">
        <v>2412000</v>
      </c>
      <c r="H16" s="332" t="s">
        <v>61</v>
      </c>
      <c r="I16" s="571"/>
      <c r="J16" s="354"/>
      <c r="K16" s="354"/>
      <c r="L16" s="354"/>
      <c r="M16" s="355">
        <f>39500+7550+4000+4000+4000+32650+4000+5700+5700+7550</f>
        <v>114650</v>
      </c>
      <c r="N16" s="354">
        <f>E16-M16</f>
        <v>2297350</v>
      </c>
      <c r="O16" s="356">
        <f>M16/D16*100</f>
        <v>4.7533167495854061</v>
      </c>
      <c r="P16" s="354">
        <v>0</v>
      </c>
      <c r="Q16" s="357" t="s">
        <v>345</v>
      </c>
      <c r="R16" s="343"/>
      <c r="S16" s="313"/>
      <c r="U16" s="314"/>
    </row>
    <row r="17" spans="1:21" s="365" customFormat="1" x14ac:dyDescent="0.3">
      <c r="A17" s="358"/>
      <c r="B17" s="820" t="s">
        <v>53</v>
      </c>
      <c r="C17" s="821"/>
      <c r="D17" s="359">
        <f>SUM(D18:D34)</f>
        <v>84431400</v>
      </c>
      <c r="E17" s="359">
        <f>SUM(E18:E34)</f>
        <v>0</v>
      </c>
      <c r="F17" s="359">
        <f>SUM(F18:F34)</f>
        <v>84431400</v>
      </c>
      <c r="G17" s="608"/>
      <c r="H17" s="359"/>
      <c r="I17" s="572"/>
      <c r="J17" s="360">
        <f>SUM(J18:J34)</f>
        <v>77245206.849999994</v>
      </c>
      <c r="K17" s="361">
        <f>SUM(K18:K34)</f>
        <v>4635293.1500000004</v>
      </c>
      <c r="L17" s="361"/>
      <c r="M17" s="638">
        <f>SUM(M18:M34)</f>
        <v>21166939.440000001</v>
      </c>
      <c r="N17" s="361">
        <f>SUM(N18:N34)</f>
        <v>57534267.409999996</v>
      </c>
      <c r="O17" s="362">
        <f>M17*100/J17</f>
        <v>27.402269089787548</v>
      </c>
      <c r="P17" s="360">
        <f>SUM(P18:P34)</f>
        <v>810000</v>
      </c>
      <c r="Q17" s="363"/>
      <c r="R17" s="364"/>
      <c r="S17" s="313"/>
      <c r="U17" s="314"/>
    </row>
    <row r="18" spans="1:21" s="344" customFormat="1" ht="81.75" customHeight="1" x14ac:dyDescent="0.3">
      <c r="A18" s="366">
        <v>7</v>
      </c>
      <c r="B18" s="851" t="s">
        <v>366</v>
      </c>
      <c r="C18" s="852"/>
      <c r="D18" s="367">
        <v>2316000</v>
      </c>
      <c r="E18" s="367">
        <v>0</v>
      </c>
      <c r="F18" s="367">
        <v>2316000</v>
      </c>
      <c r="G18" s="367">
        <v>1575000</v>
      </c>
      <c r="H18" s="367" t="s">
        <v>399</v>
      </c>
      <c r="I18" s="573"/>
      <c r="J18" s="368"/>
      <c r="K18" s="368"/>
      <c r="L18" s="368"/>
      <c r="M18" s="340">
        <v>0</v>
      </c>
      <c r="N18" s="367">
        <f>G18-M18</f>
        <v>1575000</v>
      </c>
      <c r="O18" s="369">
        <v>0</v>
      </c>
      <c r="P18" s="368">
        <v>0</v>
      </c>
      <c r="Q18" s="342" t="s">
        <v>158</v>
      </c>
      <c r="R18" s="343"/>
      <c r="S18" s="313"/>
      <c r="U18" s="314"/>
    </row>
    <row r="19" spans="1:21" s="344" customFormat="1" ht="83.25" customHeight="1" x14ac:dyDescent="0.3">
      <c r="A19" s="331">
        <v>8</v>
      </c>
      <c r="B19" s="851" t="s">
        <v>367</v>
      </c>
      <c r="C19" s="852"/>
      <c r="D19" s="367">
        <f>E19+F19</f>
        <v>2640000</v>
      </c>
      <c r="E19" s="367">
        <v>0</v>
      </c>
      <c r="F19" s="367">
        <v>2640000</v>
      </c>
      <c r="G19" s="367">
        <v>2640000</v>
      </c>
      <c r="H19" s="367" t="s">
        <v>295</v>
      </c>
      <c r="I19" s="573" t="s">
        <v>350</v>
      </c>
      <c r="J19" s="368">
        <v>2112000</v>
      </c>
      <c r="K19" s="368">
        <v>528000</v>
      </c>
      <c r="L19" s="368"/>
      <c r="M19" s="340">
        <v>2112000</v>
      </c>
      <c r="N19" s="368">
        <f>J19-M19</f>
        <v>0</v>
      </c>
      <c r="O19" s="369">
        <f>M19*100/J19</f>
        <v>100</v>
      </c>
      <c r="P19" s="368">
        <v>0</v>
      </c>
      <c r="Q19" s="342" t="s">
        <v>80</v>
      </c>
      <c r="R19" s="343"/>
      <c r="S19" s="313">
        <f t="shared" ref="S19:S26" si="2">S18</f>
        <v>0</v>
      </c>
      <c r="U19" s="314"/>
    </row>
    <row r="20" spans="1:21" s="344" customFormat="1" ht="51" customHeight="1" x14ac:dyDescent="0.3">
      <c r="A20" s="366">
        <v>9</v>
      </c>
      <c r="B20" s="851" t="s">
        <v>331</v>
      </c>
      <c r="C20" s="852"/>
      <c r="D20" s="367">
        <f>E20+F20</f>
        <v>2500000</v>
      </c>
      <c r="E20" s="367">
        <v>0</v>
      </c>
      <c r="F20" s="367">
        <v>2500000</v>
      </c>
      <c r="G20" s="367">
        <v>2500000</v>
      </c>
      <c r="H20" s="367" t="s">
        <v>296</v>
      </c>
      <c r="I20" s="573" t="s">
        <v>257</v>
      </c>
      <c r="J20" s="368">
        <v>2200000</v>
      </c>
      <c r="K20" s="368">
        <f>F20-J20</f>
        <v>300000</v>
      </c>
      <c r="L20" s="368"/>
      <c r="M20" s="340">
        <f>2200000</f>
        <v>2200000</v>
      </c>
      <c r="N20" s="368">
        <f t="shared" ref="N20:N29" si="3">J20-M20</f>
        <v>0</v>
      </c>
      <c r="O20" s="369">
        <f>M20/J20*100</f>
        <v>100</v>
      </c>
      <c r="P20" s="368">
        <v>0</v>
      </c>
      <c r="Q20" s="342" t="s">
        <v>80</v>
      </c>
      <c r="R20" s="343"/>
      <c r="S20" s="313">
        <f t="shared" si="2"/>
        <v>0</v>
      </c>
      <c r="U20" s="314"/>
    </row>
    <row r="21" spans="1:21" s="344" customFormat="1" ht="68.25" customHeight="1" x14ac:dyDescent="0.3">
      <c r="A21" s="331">
        <v>10</v>
      </c>
      <c r="B21" s="851" t="s">
        <v>368</v>
      </c>
      <c r="C21" s="852"/>
      <c r="D21" s="367">
        <v>14000000</v>
      </c>
      <c r="E21" s="367">
        <v>0</v>
      </c>
      <c r="F21" s="367">
        <f>D21</f>
        <v>14000000</v>
      </c>
      <c r="G21" s="367">
        <f>E21</f>
        <v>0</v>
      </c>
      <c r="H21" s="367" t="s">
        <v>297</v>
      </c>
      <c r="I21" s="573" t="s">
        <v>351</v>
      </c>
      <c r="J21" s="368">
        <v>13978267.41</v>
      </c>
      <c r="K21" s="368">
        <f>F21-J21</f>
        <v>21732.589999999851</v>
      </c>
      <c r="L21" s="368"/>
      <c r="M21" s="340">
        <v>0</v>
      </c>
      <c r="N21" s="368">
        <f t="shared" si="3"/>
        <v>13978267.41</v>
      </c>
      <c r="O21" s="369">
        <f>M21*100/J21</f>
        <v>0</v>
      </c>
      <c r="P21" s="368">
        <v>0</v>
      </c>
      <c r="Q21" s="342" t="s">
        <v>164</v>
      </c>
      <c r="R21" s="343"/>
      <c r="S21" s="313">
        <f t="shared" si="2"/>
        <v>0</v>
      </c>
      <c r="U21" s="314"/>
    </row>
    <row r="22" spans="1:21" s="344" customFormat="1" ht="66" customHeight="1" x14ac:dyDescent="0.3">
      <c r="A22" s="331">
        <v>11</v>
      </c>
      <c r="B22" s="851" t="s">
        <v>332</v>
      </c>
      <c r="C22" s="852"/>
      <c r="D22" s="367">
        <f>E22+F22</f>
        <v>2400000</v>
      </c>
      <c r="E22" s="367">
        <v>0</v>
      </c>
      <c r="F22" s="367">
        <v>2400000</v>
      </c>
      <c r="G22" s="367">
        <v>2400000</v>
      </c>
      <c r="H22" s="367" t="s">
        <v>298</v>
      </c>
      <c r="I22" s="573" t="s">
        <v>277</v>
      </c>
      <c r="J22" s="368">
        <v>2130000</v>
      </c>
      <c r="K22" s="368">
        <f>F22-J22</f>
        <v>270000</v>
      </c>
      <c r="L22" s="368"/>
      <c r="M22" s="340">
        <v>0</v>
      </c>
      <c r="N22" s="368">
        <f t="shared" si="3"/>
        <v>2130000</v>
      </c>
      <c r="O22" s="369">
        <f>M22*100/J22</f>
        <v>0</v>
      </c>
      <c r="P22" s="368">
        <v>0</v>
      </c>
      <c r="Q22" s="342" t="s">
        <v>164</v>
      </c>
      <c r="R22" s="343"/>
      <c r="S22" s="313">
        <f t="shared" si="2"/>
        <v>0</v>
      </c>
      <c r="U22" s="314"/>
    </row>
    <row r="23" spans="1:21" s="344" customFormat="1" ht="70.5" customHeight="1" x14ac:dyDescent="0.3">
      <c r="A23" s="331">
        <v>12</v>
      </c>
      <c r="B23" s="862" t="s">
        <v>369</v>
      </c>
      <c r="C23" s="863"/>
      <c r="D23" s="367">
        <f>E23+F23</f>
        <v>1850000</v>
      </c>
      <c r="E23" s="367">
        <v>0</v>
      </c>
      <c r="F23" s="367">
        <v>1850000</v>
      </c>
      <c r="G23" s="367">
        <v>1850000</v>
      </c>
      <c r="H23" s="367" t="s">
        <v>276</v>
      </c>
      <c r="I23" s="574" t="s">
        <v>352</v>
      </c>
      <c r="J23" s="370">
        <v>1844630</v>
      </c>
      <c r="K23" s="368">
        <f>F23-J23</f>
        <v>5370</v>
      </c>
      <c r="L23" s="629"/>
      <c r="M23" s="371">
        <v>1844630</v>
      </c>
      <c r="N23" s="368">
        <f t="shared" si="3"/>
        <v>0</v>
      </c>
      <c r="O23" s="369">
        <f>M23*100/J23</f>
        <v>100</v>
      </c>
      <c r="P23" s="370">
        <v>0</v>
      </c>
      <c r="Q23" s="357" t="s">
        <v>83</v>
      </c>
      <c r="R23" s="343"/>
      <c r="S23" s="313">
        <f t="shared" si="2"/>
        <v>0</v>
      </c>
      <c r="U23" s="314"/>
    </row>
    <row r="24" spans="1:21" s="344" customFormat="1" ht="65.25" customHeight="1" x14ac:dyDescent="0.3">
      <c r="A24" s="366">
        <v>13</v>
      </c>
      <c r="B24" s="862" t="s">
        <v>68</v>
      </c>
      <c r="C24" s="863"/>
      <c r="D24" s="367">
        <v>992000</v>
      </c>
      <c r="E24" s="367">
        <v>0</v>
      </c>
      <c r="F24" s="367">
        <f>D24</f>
        <v>992000</v>
      </c>
      <c r="G24" s="367">
        <f>E24</f>
        <v>0</v>
      </c>
      <c r="H24" s="298" t="s">
        <v>385</v>
      </c>
      <c r="I24" s="574" t="s">
        <v>353</v>
      </c>
      <c r="J24" s="370">
        <v>850000</v>
      </c>
      <c r="K24" s="368">
        <v>142000</v>
      </c>
      <c r="L24" s="629"/>
      <c r="M24" s="371">
        <v>0</v>
      </c>
      <c r="N24" s="368">
        <f t="shared" si="3"/>
        <v>850000</v>
      </c>
      <c r="O24" s="369">
        <f>M24*100/J24</f>
        <v>0</v>
      </c>
      <c r="P24" s="368">
        <v>0</v>
      </c>
      <c r="Q24" s="357" t="s">
        <v>84</v>
      </c>
      <c r="R24" s="343"/>
      <c r="S24" s="313">
        <f t="shared" si="2"/>
        <v>0</v>
      </c>
      <c r="U24" s="314"/>
    </row>
    <row r="25" spans="1:21" s="344" customFormat="1" ht="37.5" x14ac:dyDescent="0.3">
      <c r="A25" s="331">
        <v>14</v>
      </c>
      <c r="B25" s="862" t="s">
        <v>265</v>
      </c>
      <c r="C25" s="863"/>
      <c r="D25" s="367">
        <f>E25+F25</f>
        <v>34625600</v>
      </c>
      <c r="E25" s="367">
        <v>0</v>
      </c>
      <c r="F25" s="367">
        <v>34625600</v>
      </c>
      <c r="G25" s="367">
        <v>34625600</v>
      </c>
      <c r="H25" s="298" t="s">
        <v>386</v>
      </c>
      <c r="I25" s="574" t="s">
        <v>308</v>
      </c>
      <c r="J25" s="370">
        <v>34590000</v>
      </c>
      <c r="K25" s="368">
        <v>35600</v>
      </c>
      <c r="L25" s="629"/>
      <c r="M25" s="371">
        <v>0</v>
      </c>
      <c r="N25" s="368">
        <f t="shared" si="3"/>
        <v>34590000</v>
      </c>
      <c r="O25" s="369">
        <f>M25*100/J25</f>
        <v>0</v>
      </c>
      <c r="P25" s="370">
        <v>0</v>
      </c>
      <c r="Q25" s="357" t="s">
        <v>157</v>
      </c>
      <c r="R25" s="343"/>
      <c r="S25" s="313">
        <f t="shared" si="2"/>
        <v>0</v>
      </c>
      <c r="U25" s="314"/>
    </row>
    <row r="26" spans="1:21" s="344" customFormat="1" ht="42" customHeight="1" x14ac:dyDescent="0.3">
      <c r="A26" s="366">
        <v>15</v>
      </c>
      <c r="B26" s="862" t="s">
        <v>370</v>
      </c>
      <c r="C26" s="863"/>
      <c r="D26" s="367">
        <v>2054900</v>
      </c>
      <c r="E26" s="367">
        <v>0</v>
      </c>
      <c r="F26" s="367">
        <v>2054900</v>
      </c>
      <c r="G26" s="367">
        <v>1825000</v>
      </c>
      <c r="H26" s="367" t="s">
        <v>392</v>
      </c>
      <c r="I26" s="573" t="s">
        <v>393</v>
      </c>
      <c r="J26" s="368">
        <v>1500000</v>
      </c>
      <c r="K26" s="368">
        <f>G26-J26</f>
        <v>325000</v>
      </c>
      <c r="L26" s="368">
        <f>F26-G26</f>
        <v>229900</v>
      </c>
      <c r="M26" s="340">
        <v>0</v>
      </c>
      <c r="N26" s="368">
        <f t="shared" si="3"/>
        <v>1500000</v>
      </c>
      <c r="O26" s="369">
        <v>0</v>
      </c>
      <c r="P26" s="661">
        <v>325000</v>
      </c>
      <c r="Q26" s="342" t="s">
        <v>163</v>
      </c>
      <c r="R26" s="343"/>
      <c r="S26" s="313">
        <f t="shared" si="2"/>
        <v>0</v>
      </c>
      <c r="U26" s="314"/>
    </row>
    <row r="27" spans="1:21" s="344" customFormat="1" ht="65.25" customHeight="1" x14ac:dyDescent="0.3">
      <c r="A27" s="331">
        <v>16</v>
      </c>
      <c r="B27" s="862" t="s">
        <v>132</v>
      </c>
      <c r="C27" s="863"/>
      <c r="D27" s="299">
        <v>2116700</v>
      </c>
      <c r="E27" s="367">
        <v>0</v>
      </c>
      <c r="F27" s="299">
        <f>D27</f>
        <v>2116700</v>
      </c>
      <c r="G27" s="636">
        <v>2116700</v>
      </c>
      <c r="H27" s="299" t="s">
        <v>307</v>
      </c>
      <c r="I27" s="575" t="s">
        <v>301</v>
      </c>
      <c r="J27" s="372">
        <v>1309000</v>
      </c>
      <c r="K27" s="368">
        <f>F27-J27</f>
        <v>807700</v>
      </c>
      <c r="L27" s="368"/>
      <c r="M27" s="373">
        <v>0</v>
      </c>
      <c r="N27" s="368">
        <f t="shared" si="3"/>
        <v>1309000</v>
      </c>
      <c r="O27" s="369">
        <f>M27*100/J27</f>
        <v>0</v>
      </c>
      <c r="P27" s="372">
        <v>0</v>
      </c>
      <c r="Q27" s="342" t="s">
        <v>163</v>
      </c>
      <c r="R27" s="343"/>
      <c r="S27" s="313" t="e">
        <f>#REF!</f>
        <v>#REF!</v>
      </c>
      <c r="U27" s="314"/>
    </row>
    <row r="28" spans="1:21" s="344" customFormat="1" ht="63.75" customHeight="1" x14ac:dyDescent="0.3">
      <c r="A28" s="366">
        <v>17</v>
      </c>
      <c r="B28" s="862" t="s">
        <v>365</v>
      </c>
      <c r="C28" s="863"/>
      <c r="D28" s="367">
        <f>E28+F28</f>
        <v>1200000</v>
      </c>
      <c r="E28" s="367">
        <v>0</v>
      </c>
      <c r="F28" s="367">
        <v>1200000</v>
      </c>
      <c r="G28" s="367">
        <v>1200000</v>
      </c>
      <c r="H28" s="367" t="s">
        <v>299</v>
      </c>
      <c r="I28" s="573" t="s">
        <v>354</v>
      </c>
      <c r="J28" s="368">
        <v>790000</v>
      </c>
      <c r="K28" s="368">
        <f>F28-J28</f>
        <v>410000</v>
      </c>
      <c r="L28" s="368"/>
      <c r="M28" s="340">
        <f>790000</f>
        <v>790000</v>
      </c>
      <c r="N28" s="368">
        <f t="shared" si="3"/>
        <v>0</v>
      </c>
      <c r="O28" s="369">
        <f>M28*100/J28</f>
        <v>100</v>
      </c>
      <c r="P28" s="368">
        <v>0</v>
      </c>
      <c r="Q28" s="342" t="s">
        <v>163</v>
      </c>
      <c r="R28" s="343"/>
      <c r="S28" s="313" t="e">
        <f>S27</f>
        <v>#REF!</v>
      </c>
      <c r="U28" s="314"/>
    </row>
    <row r="29" spans="1:21" s="344" customFormat="1" ht="64.5" customHeight="1" x14ac:dyDescent="0.3">
      <c r="A29" s="366">
        <v>18</v>
      </c>
      <c r="B29" s="862" t="s">
        <v>364</v>
      </c>
      <c r="C29" s="863"/>
      <c r="D29" s="299">
        <v>2782000</v>
      </c>
      <c r="E29" s="367">
        <v>0</v>
      </c>
      <c r="F29" s="299">
        <v>2782000</v>
      </c>
      <c r="G29" s="299">
        <v>2777000</v>
      </c>
      <c r="H29" s="299" t="s">
        <v>284</v>
      </c>
      <c r="I29" s="573" t="s">
        <v>356</v>
      </c>
      <c r="J29" s="372">
        <v>2302986</v>
      </c>
      <c r="K29" s="372">
        <f>G29-J29</f>
        <v>474014</v>
      </c>
      <c r="L29" s="368">
        <v>5000</v>
      </c>
      <c r="M29" s="373">
        <f>555486+815500</f>
        <v>1370986</v>
      </c>
      <c r="N29" s="368">
        <f t="shared" si="3"/>
        <v>932000</v>
      </c>
      <c r="O29" s="369">
        <f>M29*100/J29</f>
        <v>59.530800447766509</v>
      </c>
      <c r="P29" s="372">
        <v>0</v>
      </c>
      <c r="Q29" s="342" t="s">
        <v>87</v>
      </c>
      <c r="R29" s="343"/>
      <c r="S29" s="313" t="e">
        <f>#REF!</f>
        <v>#REF!</v>
      </c>
      <c r="U29" s="314"/>
    </row>
    <row r="30" spans="1:21" s="344" customFormat="1" ht="63" customHeight="1" x14ac:dyDescent="0.3">
      <c r="A30" s="331">
        <v>19</v>
      </c>
      <c r="B30" s="862" t="s">
        <v>371</v>
      </c>
      <c r="C30" s="863"/>
      <c r="D30" s="299">
        <v>1365000</v>
      </c>
      <c r="E30" s="367">
        <v>0</v>
      </c>
      <c r="F30" s="299">
        <f t="shared" ref="F30:F34" si="4">D30</f>
        <v>1365000</v>
      </c>
      <c r="G30" s="299">
        <v>1365000</v>
      </c>
      <c r="H30" s="299" t="s">
        <v>300</v>
      </c>
      <c r="I30" s="575" t="s">
        <v>355</v>
      </c>
      <c r="J30" s="372">
        <v>999000</v>
      </c>
      <c r="K30" s="368">
        <v>366000</v>
      </c>
      <c r="L30" s="368"/>
      <c r="M30" s="373">
        <f>999000</f>
        <v>999000</v>
      </c>
      <c r="N30" s="368">
        <v>0</v>
      </c>
      <c r="O30" s="369">
        <f>M30*100/J30</f>
        <v>100</v>
      </c>
      <c r="P30" s="655">
        <v>366000</v>
      </c>
      <c r="Q30" s="342" t="s">
        <v>87</v>
      </c>
      <c r="R30" s="343"/>
      <c r="S30" s="313" t="e">
        <f>S29</f>
        <v>#REF!</v>
      </c>
      <c r="U30" s="314"/>
    </row>
    <row r="31" spans="1:21" s="344" customFormat="1" ht="66" customHeight="1" x14ac:dyDescent="0.3">
      <c r="A31" s="366">
        <v>20</v>
      </c>
      <c r="B31" s="851" t="s">
        <v>372</v>
      </c>
      <c r="C31" s="852"/>
      <c r="D31" s="374">
        <v>7328000</v>
      </c>
      <c r="E31" s="375">
        <v>0</v>
      </c>
      <c r="F31" s="374">
        <f t="shared" si="4"/>
        <v>7328000</v>
      </c>
      <c r="G31" s="374">
        <v>7328000</v>
      </c>
      <c r="H31" s="299" t="s">
        <v>289</v>
      </c>
      <c r="I31" s="575" t="s">
        <v>350</v>
      </c>
      <c r="J31" s="372">
        <v>7328000</v>
      </c>
      <c r="K31" s="368">
        <f>F31-J31</f>
        <v>0</v>
      </c>
      <c r="L31" s="628"/>
      <c r="M31" s="376">
        <f>7209000</f>
        <v>7209000</v>
      </c>
      <c r="N31" s="368">
        <v>0</v>
      </c>
      <c r="O31" s="369">
        <v>100</v>
      </c>
      <c r="P31" s="663">
        <v>119000</v>
      </c>
      <c r="Q31" s="342" t="s">
        <v>161</v>
      </c>
      <c r="R31" s="343"/>
      <c r="S31" s="313" t="e">
        <f>#REF!</f>
        <v>#REF!</v>
      </c>
      <c r="U31" s="314"/>
    </row>
    <row r="32" spans="1:21" s="344" customFormat="1" ht="61.5" customHeight="1" x14ac:dyDescent="0.3">
      <c r="A32" s="331">
        <v>21</v>
      </c>
      <c r="B32" s="862" t="s">
        <v>373</v>
      </c>
      <c r="C32" s="863"/>
      <c r="D32" s="299">
        <v>1482700</v>
      </c>
      <c r="E32" s="367">
        <v>0</v>
      </c>
      <c r="F32" s="299">
        <v>1482700</v>
      </c>
      <c r="G32" s="299">
        <v>927400</v>
      </c>
      <c r="H32" s="299" t="s">
        <v>394</v>
      </c>
      <c r="I32" s="575" t="s">
        <v>395</v>
      </c>
      <c r="J32" s="372">
        <v>670000</v>
      </c>
      <c r="K32" s="368">
        <f>F32-J32</f>
        <v>812700</v>
      </c>
      <c r="L32" s="368">
        <f>F32-G32</f>
        <v>555300</v>
      </c>
      <c r="M32" s="373">
        <v>0</v>
      </c>
      <c r="N32" s="368">
        <f>J32-M32</f>
        <v>670000</v>
      </c>
      <c r="O32" s="369">
        <f>M32/G32*100</f>
        <v>0</v>
      </c>
      <c r="P32" s="659"/>
      <c r="Q32" s="342" t="s">
        <v>160</v>
      </c>
      <c r="R32" s="343"/>
      <c r="S32" s="313" t="e">
        <f>#REF!</f>
        <v>#REF!</v>
      </c>
      <c r="U32" s="314"/>
    </row>
    <row r="33" spans="1:21" s="344" customFormat="1" ht="68.25" customHeight="1" x14ac:dyDescent="0.3">
      <c r="A33" s="331">
        <v>22</v>
      </c>
      <c r="B33" s="851" t="s">
        <v>374</v>
      </c>
      <c r="C33" s="852"/>
      <c r="D33" s="299">
        <v>3378500</v>
      </c>
      <c r="E33" s="367">
        <v>0</v>
      </c>
      <c r="F33" s="299">
        <f t="shared" si="4"/>
        <v>3378500</v>
      </c>
      <c r="G33" s="299">
        <v>3378500</v>
      </c>
      <c r="H33" s="299" t="s">
        <v>258</v>
      </c>
      <c r="I33" s="573" t="s">
        <v>333</v>
      </c>
      <c r="J33" s="372">
        <v>3328123.44</v>
      </c>
      <c r="K33" s="368">
        <f>F33-J33</f>
        <v>50376.560000000056</v>
      </c>
      <c r="L33" s="368"/>
      <c r="M33" s="373">
        <f>3328123.44</f>
        <v>3328123.44</v>
      </c>
      <c r="N33" s="368">
        <f>J33-M33</f>
        <v>0</v>
      </c>
      <c r="O33" s="369">
        <f>M33*100/J33</f>
        <v>100</v>
      </c>
      <c r="P33" s="372"/>
      <c r="Q33" s="342" t="s">
        <v>159</v>
      </c>
      <c r="R33" s="343"/>
      <c r="S33" s="313" t="e">
        <f>#REF!</f>
        <v>#REF!</v>
      </c>
      <c r="U33" s="314"/>
    </row>
    <row r="34" spans="1:21" s="380" customFormat="1" ht="43.5" customHeight="1" x14ac:dyDescent="0.3">
      <c r="A34" s="366">
        <v>23</v>
      </c>
      <c r="B34" s="851" t="s">
        <v>375</v>
      </c>
      <c r="C34" s="852"/>
      <c r="D34" s="367">
        <v>1400000</v>
      </c>
      <c r="E34" s="367">
        <v>0</v>
      </c>
      <c r="F34" s="367">
        <f t="shared" si="4"/>
        <v>1400000</v>
      </c>
      <c r="G34" s="367">
        <v>1400000</v>
      </c>
      <c r="H34" s="367" t="s">
        <v>259</v>
      </c>
      <c r="I34" s="573" t="s">
        <v>260</v>
      </c>
      <c r="J34" s="368">
        <v>1313200</v>
      </c>
      <c r="K34" s="368">
        <f>F34-J34</f>
        <v>86800</v>
      </c>
      <c r="L34" s="368"/>
      <c r="M34" s="340">
        <f>1313200</f>
        <v>1313200</v>
      </c>
      <c r="N34" s="368">
        <f>J34-M34</f>
        <v>0</v>
      </c>
      <c r="O34" s="369">
        <f>M34*100/J34</f>
        <v>100</v>
      </c>
      <c r="P34" s="368">
        <v>0</v>
      </c>
      <c r="Q34" s="377" t="s">
        <v>346</v>
      </c>
      <c r="R34" s="378"/>
      <c r="S34" s="379" t="e">
        <f>#REF!</f>
        <v>#REF!</v>
      </c>
      <c r="U34" s="381"/>
    </row>
    <row r="35" spans="1:21" s="365" customFormat="1" x14ac:dyDescent="0.3">
      <c r="A35" s="382"/>
      <c r="B35" s="858" t="s">
        <v>89</v>
      </c>
      <c r="C35" s="859"/>
      <c r="D35" s="383">
        <f>SUM(D36:D44)</f>
        <v>37245000</v>
      </c>
      <c r="E35" s="383">
        <f>SUM(E36:E44)-E38-E39</f>
        <v>0</v>
      </c>
      <c r="F35" s="383">
        <v>37245000</v>
      </c>
      <c r="G35" s="609"/>
      <c r="H35" s="383"/>
      <c r="I35" s="576"/>
      <c r="J35" s="384">
        <f>J36+J37+J40+J41+J42+J43+J44</f>
        <v>33243200</v>
      </c>
      <c r="K35" s="384">
        <f>K36+K37+K40+K41+K42+K43+K44</f>
        <v>4001800</v>
      </c>
      <c r="L35" s="384"/>
      <c r="M35" s="639">
        <f>M36+M37+M40+M41+M42+M43+M44</f>
        <v>6063066.6600000001</v>
      </c>
      <c r="N35" s="384">
        <f>N36+N37+N40+N41+N42+N43+N44</f>
        <v>29145000</v>
      </c>
      <c r="O35" s="385"/>
      <c r="P35" s="384">
        <f>P36+P37+P40+P41+P42+P43</f>
        <v>2265933.34</v>
      </c>
      <c r="Q35" s="386"/>
      <c r="R35" s="364"/>
      <c r="S35" s="313" t="e">
        <f>S34</f>
        <v>#REF!</v>
      </c>
      <c r="U35" s="314"/>
    </row>
    <row r="36" spans="1:21" s="344" customFormat="1" ht="66" customHeight="1" x14ac:dyDescent="0.3">
      <c r="A36" s="366">
        <v>24</v>
      </c>
      <c r="B36" s="851" t="s">
        <v>376</v>
      </c>
      <c r="C36" s="852"/>
      <c r="D36" s="299">
        <v>6579000</v>
      </c>
      <c r="E36" s="299">
        <v>0</v>
      </c>
      <c r="F36" s="299">
        <v>6579000</v>
      </c>
      <c r="G36" s="299">
        <v>6579000</v>
      </c>
      <c r="H36" s="299" t="s">
        <v>390</v>
      </c>
      <c r="I36" s="575" t="s">
        <v>391</v>
      </c>
      <c r="J36" s="372">
        <v>5350000</v>
      </c>
      <c r="K36" s="372">
        <f>G36-J36</f>
        <v>1229000</v>
      </c>
      <c r="L36" s="372"/>
      <c r="M36" s="373">
        <v>0</v>
      </c>
      <c r="N36" s="372">
        <f>F36-M36</f>
        <v>6579000</v>
      </c>
      <c r="O36" s="369"/>
      <c r="P36" s="659">
        <v>1229000</v>
      </c>
      <c r="Q36" s="342" t="s">
        <v>264</v>
      </c>
      <c r="R36" s="343"/>
      <c r="S36" s="313" t="e">
        <f>#REF!</f>
        <v>#REF!</v>
      </c>
      <c r="U36" s="314"/>
    </row>
    <row r="37" spans="1:21" s="344" customFormat="1" ht="45" customHeight="1" x14ac:dyDescent="0.3">
      <c r="A37" s="388"/>
      <c r="B37" s="860" t="s">
        <v>377</v>
      </c>
      <c r="C37" s="861"/>
      <c r="D37" s="389"/>
      <c r="E37" s="389"/>
      <c r="F37" s="389">
        <f>F38+F39</f>
        <v>5256000</v>
      </c>
      <c r="G37" s="610">
        <f>G38+G39</f>
        <v>5256000</v>
      </c>
      <c r="H37" s="389"/>
      <c r="I37" s="577"/>
      <c r="J37" s="390">
        <f>J38+J39</f>
        <v>4386600</v>
      </c>
      <c r="K37" s="390">
        <f>K38+K39</f>
        <v>869400</v>
      </c>
      <c r="L37" s="390"/>
      <c r="M37" s="391">
        <v>0</v>
      </c>
      <c r="N37" s="390">
        <f>N38+N39</f>
        <v>5256000</v>
      </c>
      <c r="O37" s="392"/>
      <c r="P37" s="656">
        <f>P38+P39</f>
        <v>869400</v>
      </c>
      <c r="Q37" s="393"/>
      <c r="R37" s="343"/>
      <c r="S37" s="313" t="e">
        <f>S36</f>
        <v>#REF!</v>
      </c>
      <c r="U37" s="314"/>
    </row>
    <row r="38" spans="1:21" s="380" customFormat="1" ht="63.75" customHeight="1" x14ac:dyDescent="0.3">
      <c r="A38" s="394">
        <v>25</v>
      </c>
      <c r="B38" s="831" t="s">
        <v>130</v>
      </c>
      <c r="C38" s="832"/>
      <c r="D38" s="395">
        <f>E38+F38</f>
        <v>4776000</v>
      </c>
      <c r="E38" s="395">
        <v>0</v>
      </c>
      <c r="F38" s="395">
        <f>1592000*3</f>
        <v>4776000</v>
      </c>
      <c r="G38" s="395">
        <f>1592000*3</f>
        <v>4776000</v>
      </c>
      <c r="H38" s="395" t="s">
        <v>396</v>
      </c>
      <c r="I38" s="578" t="s">
        <v>401</v>
      </c>
      <c r="J38" s="396">
        <v>4098528</v>
      </c>
      <c r="K38" s="396">
        <f>G38-J38</f>
        <v>677472</v>
      </c>
      <c r="L38" s="396"/>
      <c r="M38" s="397">
        <v>0</v>
      </c>
      <c r="N38" s="396">
        <f>F38-M38</f>
        <v>4776000</v>
      </c>
      <c r="O38" s="398"/>
      <c r="P38" s="657">
        <v>677472</v>
      </c>
      <c r="Q38" s="399" t="s">
        <v>158</v>
      </c>
      <c r="R38" s="378"/>
      <c r="S38" s="379"/>
      <c r="U38" s="381"/>
    </row>
    <row r="39" spans="1:21" s="344" customFormat="1" ht="47.25" customHeight="1" x14ac:dyDescent="0.3">
      <c r="A39" s="366">
        <v>26</v>
      </c>
      <c r="B39" s="833" t="s">
        <v>129</v>
      </c>
      <c r="C39" s="834"/>
      <c r="D39" s="400">
        <f>E39+F39</f>
        <v>480000</v>
      </c>
      <c r="E39" s="400">
        <v>0</v>
      </c>
      <c r="F39" s="400">
        <v>480000</v>
      </c>
      <c r="G39" s="400">
        <v>480000</v>
      </c>
      <c r="H39" s="395" t="s">
        <v>396</v>
      </c>
      <c r="I39" s="578" t="s">
        <v>401</v>
      </c>
      <c r="J39" s="401">
        <v>288072</v>
      </c>
      <c r="K39" s="402">
        <f>G39-J39</f>
        <v>191928</v>
      </c>
      <c r="L39" s="630"/>
      <c r="M39" s="403">
        <v>0</v>
      </c>
      <c r="N39" s="401">
        <f>F39-M39</f>
        <v>480000</v>
      </c>
      <c r="O39" s="404"/>
      <c r="P39" s="658">
        <v>191928</v>
      </c>
      <c r="Q39" s="357" t="s">
        <v>158</v>
      </c>
      <c r="R39" s="343"/>
      <c r="S39" s="313"/>
      <c r="U39" s="314"/>
    </row>
    <row r="40" spans="1:21" s="344" customFormat="1" ht="66.75" customHeight="1" x14ac:dyDescent="0.3">
      <c r="A40" s="366">
        <v>27</v>
      </c>
      <c r="B40" s="851" t="s">
        <v>349</v>
      </c>
      <c r="C40" s="852"/>
      <c r="D40" s="299">
        <v>1350000</v>
      </c>
      <c r="E40" s="299">
        <v>0</v>
      </c>
      <c r="F40" s="299">
        <f>D40</f>
        <v>1350000</v>
      </c>
      <c r="G40" s="299">
        <v>1350000</v>
      </c>
      <c r="H40" s="299" t="s">
        <v>397</v>
      </c>
      <c r="I40" s="575" t="s">
        <v>398</v>
      </c>
      <c r="J40" s="372">
        <v>1333000</v>
      </c>
      <c r="K40" s="372">
        <f>G40-J40</f>
        <v>17000</v>
      </c>
      <c r="L40" s="372"/>
      <c r="M40" s="373">
        <v>0</v>
      </c>
      <c r="N40" s="372">
        <f>F40-M40</f>
        <v>1350000</v>
      </c>
      <c r="O40" s="387"/>
      <c r="P40" s="659">
        <v>17000</v>
      </c>
      <c r="Q40" s="342" t="s">
        <v>158</v>
      </c>
      <c r="R40" s="343"/>
      <c r="S40" s="313" t="e">
        <f>S37</f>
        <v>#REF!</v>
      </c>
      <c r="U40" s="314"/>
    </row>
    <row r="41" spans="1:21" s="344" customFormat="1" ht="70.5" customHeight="1" x14ac:dyDescent="0.3">
      <c r="A41" s="405">
        <v>28</v>
      </c>
      <c r="B41" s="851" t="s">
        <v>339</v>
      </c>
      <c r="C41" s="852"/>
      <c r="D41" s="299">
        <v>7000000</v>
      </c>
      <c r="E41" s="299">
        <v>0</v>
      </c>
      <c r="F41" s="299">
        <f>D41</f>
        <v>7000000</v>
      </c>
      <c r="G41" s="299">
        <v>7000000</v>
      </c>
      <c r="H41" s="338" t="s">
        <v>286</v>
      </c>
      <c r="I41" s="575" t="s">
        <v>287</v>
      </c>
      <c r="J41" s="372">
        <v>5163600</v>
      </c>
      <c r="K41" s="372">
        <f>F41-J41</f>
        <v>1836400</v>
      </c>
      <c r="L41" s="372"/>
      <c r="M41" s="373">
        <f>5163600</f>
        <v>5163600</v>
      </c>
      <c r="N41" s="372">
        <f>J41-M41</f>
        <v>0</v>
      </c>
      <c r="O41" s="387">
        <f>M41/J41*100</f>
        <v>100</v>
      </c>
      <c r="P41" s="372">
        <v>0</v>
      </c>
      <c r="Q41" s="342" t="s">
        <v>93</v>
      </c>
      <c r="R41" s="343"/>
      <c r="S41" s="313" t="e">
        <f>#REF!</f>
        <v>#REF!</v>
      </c>
      <c r="U41" s="314"/>
    </row>
    <row r="42" spans="1:21" s="344" customFormat="1" ht="37.5" x14ac:dyDescent="0.3">
      <c r="A42" s="366">
        <v>29</v>
      </c>
      <c r="B42" s="851" t="s">
        <v>94</v>
      </c>
      <c r="C42" s="852"/>
      <c r="D42" s="367">
        <f>E42+F42</f>
        <v>1060000</v>
      </c>
      <c r="E42" s="299">
        <v>0</v>
      </c>
      <c r="F42" s="367">
        <v>1060000</v>
      </c>
      <c r="G42" s="367">
        <v>1060000</v>
      </c>
      <c r="H42" s="406" t="s">
        <v>285</v>
      </c>
      <c r="I42" s="573" t="s">
        <v>270</v>
      </c>
      <c r="J42" s="368">
        <v>1050000</v>
      </c>
      <c r="K42" s="372">
        <f>F42-J42</f>
        <v>10000</v>
      </c>
      <c r="L42" s="372">
        <f>F42-G42</f>
        <v>0</v>
      </c>
      <c r="M42" s="340">
        <f>899466.66</f>
        <v>899466.66</v>
      </c>
      <c r="N42" s="372">
        <v>0</v>
      </c>
      <c r="O42" s="369">
        <v>100</v>
      </c>
      <c r="P42" s="662">
        <v>150533.33999999997</v>
      </c>
      <c r="Q42" s="342" t="s">
        <v>93</v>
      </c>
      <c r="R42" s="343"/>
      <c r="S42" s="313" t="e">
        <f>#REF!</f>
        <v>#REF!</v>
      </c>
      <c r="U42" s="314"/>
    </row>
    <row r="43" spans="1:21" s="344" customFormat="1" ht="44.25" customHeight="1" x14ac:dyDescent="0.3">
      <c r="A43" s="331">
        <v>30</v>
      </c>
      <c r="B43" s="851" t="s">
        <v>273</v>
      </c>
      <c r="C43" s="852"/>
      <c r="D43" s="367">
        <f>E43+F43</f>
        <v>9000000</v>
      </c>
      <c r="E43" s="299">
        <v>0</v>
      </c>
      <c r="F43" s="367">
        <v>9000000</v>
      </c>
      <c r="G43" s="367">
        <v>9000000</v>
      </c>
      <c r="H43" s="897" t="s">
        <v>274</v>
      </c>
      <c r="I43" s="899" t="s">
        <v>275</v>
      </c>
      <c r="J43" s="864">
        <v>15960000</v>
      </c>
      <c r="K43" s="798">
        <f>F43+F44-J43</f>
        <v>40000</v>
      </c>
      <c r="L43" s="798"/>
      <c r="M43" s="883">
        <v>0</v>
      </c>
      <c r="N43" s="798">
        <f>J43-M43</f>
        <v>15960000</v>
      </c>
      <c r="O43" s="809">
        <f>M43*100/J43</f>
        <v>0</v>
      </c>
      <c r="P43" s="864">
        <v>0</v>
      </c>
      <c r="Q43" s="895" t="s">
        <v>157</v>
      </c>
      <c r="R43" s="343"/>
      <c r="S43" s="313" t="e">
        <f>#REF!</f>
        <v>#REF!</v>
      </c>
      <c r="U43" s="314"/>
    </row>
    <row r="44" spans="1:21" s="344" customFormat="1" ht="66" customHeight="1" x14ac:dyDescent="0.3">
      <c r="A44" s="366">
        <v>31</v>
      </c>
      <c r="B44" s="851" t="s">
        <v>340</v>
      </c>
      <c r="C44" s="852"/>
      <c r="D44" s="367">
        <f>E44+F44</f>
        <v>7000000</v>
      </c>
      <c r="E44" s="299">
        <v>0</v>
      </c>
      <c r="F44" s="367">
        <v>7000000</v>
      </c>
      <c r="G44" s="367">
        <v>7000000</v>
      </c>
      <c r="H44" s="898"/>
      <c r="I44" s="900"/>
      <c r="J44" s="865"/>
      <c r="K44" s="799"/>
      <c r="L44" s="799"/>
      <c r="M44" s="884"/>
      <c r="N44" s="799"/>
      <c r="O44" s="810"/>
      <c r="P44" s="865"/>
      <c r="Q44" s="896"/>
      <c r="R44" s="343"/>
      <c r="S44" s="313" t="e">
        <f>S43</f>
        <v>#REF!</v>
      </c>
      <c r="U44" s="314"/>
    </row>
    <row r="45" spans="1:21" s="344" customFormat="1" x14ac:dyDescent="0.3">
      <c r="A45" s="407"/>
      <c r="B45" s="820" t="s">
        <v>50</v>
      </c>
      <c r="C45" s="821"/>
      <c r="D45" s="408">
        <f>SUM(D46:D48)</f>
        <v>1198400</v>
      </c>
      <c r="E45" s="408">
        <f>E46+E47+E48</f>
        <v>1198400</v>
      </c>
      <c r="F45" s="408">
        <f t="shared" ref="F45:P45" si="5">F46+F47+F48</f>
        <v>0</v>
      </c>
      <c r="G45" s="611"/>
      <c r="H45" s="408"/>
      <c r="I45" s="579"/>
      <c r="J45" s="361">
        <f t="shared" si="5"/>
        <v>0</v>
      </c>
      <c r="K45" s="361">
        <f t="shared" si="5"/>
        <v>0</v>
      </c>
      <c r="L45" s="361"/>
      <c r="M45" s="408">
        <f t="shared" si="5"/>
        <v>960690</v>
      </c>
      <c r="N45" s="361">
        <f t="shared" si="5"/>
        <v>237710</v>
      </c>
      <c r="O45" s="409">
        <f>M45*100/E45</f>
        <v>80.164385847797064</v>
      </c>
      <c r="P45" s="361">
        <f t="shared" si="5"/>
        <v>0</v>
      </c>
      <c r="Q45" s="410"/>
      <c r="R45" s="343"/>
      <c r="S45" s="313" t="e">
        <f>S44</f>
        <v>#REF!</v>
      </c>
      <c r="U45" s="314"/>
    </row>
    <row r="46" spans="1:21" s="344" customFormat="1" ht="62.25" customHeight="1" x14ac:dyDescent="0.3">
      <c r="A46" s="353">
        <v>32</v>
      </c>
      <c r="B46" s="851" t="s">
        <v>96</v>
      </c>
      <c r="C46" s="852"/>
      <c r="D46" s="299">
        <f>E46+F46</f>
        <v>298300</v>
      </c>
      <c r="E46" s="299">
        <v>298300</v>
      </c>
      <c r="F46" s="299">
        <v>0</v>
      </c>
      <c r="G46" s="299">
        <v>298300</v>
      </c>
      <c r="H46" s="299"/>
      <c r="I46" s="575"/>
      <c r="J46" s="372"/>
      <c r="K46" s="372"/>
      <c r="L46" s="372"/>
      <c r="M46" s="373">
        <f>90600+40400+57600+14700+4500+11500+79000</f>
        <v>298300</v>
      </c>
      <c r="N46" s="372">
        <f>E46-M46</f>
        <v>0</v>
      </c>
      <c r="O46" s="387">
        <f>M46*100/E46</f>
        <v>100</v>
      </c>
      <c r="P46" s="372">
        <v>0</v>
      </c>
      <c r="Q46" s="342" t="s">
        <v>387</v>
      </c>
      <c r="R46" s="343"/>
      <c r="S46" s="313" t="e">
        <f>#REF!</f>
        <v>#REF!</v>
      </c>
      <c r="U46" s="314"/>
    </row>
    <row r="47" spans="1:21" s="344" customFormat="1" ht="63" customHeight="1" x14ac:dyDescent="0.3">
      <c r="A47" s="411">
        <v>33</v>
      </c>
      <c r="B47" s="888" t="s">
        <v>98</v>
      </c>
      <c r="C47" s="852"/>
      <c r="D47" s="299">
        <f>E47+F47</f>
        <v>296700</v>
      </c>
      <c r="E47" s="299">
        <v>296700</v>
      </c>
      <c r="F47" s="299">
        <v>0</v>
      </c>
      <c r="G47" s="299">
        <v>296700</v>
      </c>
      <c r="H47" s="412"/>
      <c r="I47" s="580"/>
      <c r="J47" s="413"/>
      <c r="K47" s="413"/>
      <c r="L47" s="413"/>
      <c r="M47" s="414">
        <f>44800+6960+9800+7840+2730+8300+2910+1850+107400+14000+2400</f>
        <v>208990</v>
      </c>
      <c r="N47" s="372">
        <f>E47-M47</f>
        <v>87710</v>
      </c>
      <c r="O47" s="387">
        <f>M47*100/E47</f>
        <v>70.438153016515002</v>
      </c>
      <c r="P47" s="413">
        <v>0</v>
      </c>
      <c r="Q47" s="342" t="s">
        <v>387</v>
      </c>
      <c r="R47" s="343"/>
      <c r="S47" s="313" t="e">
        <f>S46</f>
        <v>#REF!</v>
      </c>
      <c r="U47" s="314"/>
    </row>
    <row r="48" spans="1:21" s="344" customFormat="1" ht="66.75" customHeight="1" x14ac:dyDescent="0.3">
      <c r="A48" s="331">
        <v>34</v>
      </c>
      <c r="B48" s="851" t="s">
        <v>49</v>
      </c>
      <c r="C48" s="852"/>
      <c r="D48" s="299">
        <f>E48+F48</f>
        <v>603400</v>
      </c>
      <c r="E48" s="367">
        <v>603400</v>
      </c>
      <c r="F48" s="367">
        <v>0</v>
      </c>
      <c r="G48" s="367">
        <v>603400</v>
      </c>
      <c r="H48" s="367"/>
      <c r="I48" s="573"/>
      <c r="J48" s="368"/>
      <c r="K48" s="368"/>
      <c r="L48" s="368"/>
      <c r="M48" s="340">
        <f>3000+79800+10500+600+26400+400+2700+39500+290500</f>
        <v>453400</v>
      </c>
      <c r="N48" s="372">
        <f>E48-M48</f>
        <v>150000</v>
      </c>
      <c r="O48" s="387">
        <f>M48*100/E48</f>
        <v>75.140868412330136</v>
      </c>
      <c r="P48" s="368">
        <v>0</v>
      </c>
      <c r="Q48" s="342" t="s">
        <v>387</v>
      </c>
      <c r="R48" s="343"/>
      <c r="S48" s="313" t="e">
        <f>S47</f>
        <v>#REF!</v>
      </c>
      <c r="U48" s="314"/>
    </row>
    <row r="49" spans="1:21" s="421" customFormat="1" x14ac:dyDescent="0.3">
      <c r="A49" s="889" t="s">
        <v>99</v>
      </c>
      <c r="B49" s="890"/>
      <c r="C49" s="891"/>
      <c r="D49" s="416">
        <f>D51+D80+D82+D88</f>
        <v>36571300</v>
      </c>
      <c r="E49" s="416">
        <f>E51+E80+E82+E88</f>
        <v>10758300</v>
      </c>
      <c r="F49" s="416">
        <f>F51+F80+F82+F88</f>
        <v>25813000</v>
      </c>
      <c r="G49" s="612"/>
      <c r="H49" s="416"/>
      <c r="I49" s="581"/>
      <c r="J49" s="417">
        <f>J50</f>
        <v>23769466.689999998</v>
      </c>
      <c r="K49" s="417">
        <f>K50</f>
        <v>1714533.31</v>
      </c>
      <c r="L49" s="417"/>
      <c r="M49" s="642">
        <f>M50</f>
        <v>21692313.649999999</v>
      </c>
      <c r="N49" s="417">
        <f>N50</f>
        <v>12835453.039999999</v>
      </c>
      <c r="O49" s="418">
        <f>M49*100/D49</f>
        <v>59.31512866646797</v>
      </c>
      <c r="P49" s="417">
        <f>P51+P80+P82+P88</f>
        <v>1138185</v>
      </c>
      <c r="Q49" s="419"/>
      <c r="R49" s="420"/>
      <c r="S49" s="313" t="e">
        <f>S48</f>
        <v>#REF!</v>
      </c>
      <c r="U49" s="314"/>
    </row>
    <row r="50" spans="1:21" s="427" customFormat="1" x14ac:dyDescent="0.3">
      <c r="A50" s="892" t="s">
        <v>48</v>
      </c>
      <c r="B50" s="893"/>
      <c r="C50" s="894"/>
      <c r="D50" s="422">
        <f>E50+F50</f>
        <v>36571300</v>
      </c>
      <c r="E50" s="422">
        <f>E51+E80+E82+E88</f>
        <v>10758300</v>
      </c>
      <c r="F50" s="422">
        <f>F51+F80+F82+F88</f>
        <v>25813000</v>
      </c>
      <c r="G50" s="613"/>
      <c r="H50" s="422"/>
      <c r="I50" s="582"/>
      <c r="J50" s="423">
        <f>J51+J80+J82+J88</f>
        <v>23769466.689999998</v>
      </c>
      <c r="K50" s="423">
        <f>K51+K80+K82+K88</f>
        <v>1714533.31</v>
      </c>
      <c r="L50" s="423"/>
      <c r="M50" s="641">
        <f>M51+M80+M82+M88</f>
        <v>21692313.649999999</v>
      </c>
      <c r="N50" s="423">
        <f>N51+N80+N82+N88</f>
        <v>12835453.039999999</v>
      </c>
      <c r="O50" s="424">
        <f>M50*100/D50</f>
        <v>59.31512866646797</v>
      </c>
      <c r="P50" s="423">
        <f>P51+P80+P82+P88</f>
        <v>1138185</v>
      </c>
      <c r="Q50" s="425"/>
      <c r="R50" s="426"/>
      <c r="S50" s="313" t="e">
        <f>S49</f>
        <v>#REF!</v>
      </c>
      <c r="U50" s="314"/>
    </row>
    <row r="51" spans="1:21" s="427" customFormat="1" x14ac:dyDescent="0.3">
      <c r="A51" s="428"/>
      <c r="B51" s="856" t="s">
        <v>47</v>
      </c>
      <c r="C51" s="857"/>
      <c r="D51" s="422">
        <f>D52+D53+D59+D69</f>
        <v>31572800</v>
      </c>
      <c r="E51" s="422">
        <f>E52+E53+E59+E69</f>
        <v>5759800</v>
      </c>
      <c r="F51" s="422">
        <f>F52+F53+F59+F69</f>
        <v>25813000</v>
      </c>
      <c r="G51" s="613"/>
      <c r="H51" s="422"/>
      <c r="I51" s="582"/>
      <c r="J51" s="423">
        <f t="shared" ref="J51:N51" si="6">J52+J53+J59+J69</f>
        <v>23769466.689999998</v>
      </c>
      <c r="K51" s="423">
        <f t="shared" si="6"/>
        <v>1714533.31</v>
      </c>
      <c r="L51" s="423"/>
      <c r="M51" s="641">
        <f t="shared" si="6"/>
        <v>19962770.649999999</v>
      </c>
      <c r="N51" s="423">
        <f t="shared" si="6"/>
        <v>9566496.0399999991</v>
      </c>
      <c r="O51" s="424">
        <f>M51*100/D51</f>
        <v>63.227748726752132</v>
      </c>
      <c r="P51" s="423">
        <f>P52+P53+P59+P69</f>
        <v>1128300</v>
      </c>
      <c r="Q51" s="425"/>
      <c r="R51" s="426"/>
      <c r="S51" s="313" t="e">
        <f>S50</f>
        <v>#REF!</v>
      </c>
      <c r="U51" s="314"/>
    </row>
    <row r="52" spans="1:21" s="427" customFormat="1" x14ac:dyDescent="0.3">
      <c r="A52" s="331">
        <v>35</v>
      </c>
      <c r="B52" s="851" t="s">
        <v>46</v>
      </c>
      <c r="C52" s="852"/>
      <c r="D52" s="429">
        <f>E52+F52</f>
        <v>698340</v>
      </c>
      <c r="E52" s="429">
        <v>698340</v>
      </c>
      <c r="F52" s="429">
        <v>0</v>
      </c>
      <c r="G52" s="429">
        <v>698340</v>
      </c>
      <c r="H52" s="429"/>
      <c r="I52" s="583"/>
      <c r="J52" s="430"/>
      <c r="K52" s="430"/>
      <c r="L52" s="430"/>
      <c r="M52" s="431">
        <f>48780+36500+10000</f>
        <v>95280</v>
      </c>
      <c r="N52" s="430">
        <f>E52-M52</f>
        <v>603060</v>
      </c>
      <c r="O52" s="387">
        <f>M52*100/E52</f>
        <v>13.643783830225965</v>
      </c>
      <c r="P52" s="430">
        <v>0</v>
      </c>
      <c r="Q52" s="342" t="s">
        <v>100</v>
      </c>
      <c r="R52" s="426"/>
      <c r="S52" s="313" t="e">
        <f>#REF!</f>
        <v>#REF!</v>
      </c>
      <c r="U52" s="314"/>
    </row>
    <row r="53" spans="1:21" s="439" customFormat="1" ht="37.5" x14ac:dyDescent="0.3">
      <c r="A53" s="388"/>
      <c r="B53" s="860" t="s">
        <v>348</v>
      </c>
      <c r="C53" s="861"/>
      <c r="D53" s="432">
        <f>E53+F53</f>
        <v>15104370</v>
      </c>
      <c r="E53" s="432">
        <v>1354370</v>
      </c>
      <c r="F53" s="432">
        <v>13750000</v>
      </c>
      <c r="G53" s="614"/>
      <c r="H53" s="433"/>
      <c r="I53" s="584"/>
      <c r="J53" s="434">
        <f>J55</f>
        <v>13656600</v>
      </c>
      <c r="K53" s="434">
        <f>K55</f>
        <v>93400</v>
      </c>
      <c r="L53" s="434"/>
      <c r="M53" s="435">
        <f>M54+M55</f>
        <v>12613925</v>
      </c>
      <c r="N53" s="436">
        <f>N54+N55</f>
        <v>2397045</v>
      </c>
      <c r="O53" s="437">
        <f>M53*100/D53</f>
        <v>83.511758517568097</v>
      </c>
      <c r="P53" s="434">
        <f>P54+P55</f>
        <v>77300</v>
      </c>
      <c r="Q53" s="393" t="s">
        <v>171</v>
      </c>
      <c r="R53" s="438"/>
      <c r="S53" s="313" t="e">
        <f>S52</f>
        <v>#REF!</v>
      </c>
      <c r="U53" s="314"/>
    </row>
    <row r="54" spans="1:21" s="439" customFormat="1" x14ac:dyDescent="0.3">
      <c r="A54" s="440">
        <v>36</v>
      </c>
      <c r="B54" s="441" t="s">
        <v>61</v>
      </c>
      <c r="C54" s="442"/>
      <c r="D54" s="443">
        <f>E54</f>
        <v>1354370</v>
      </c>
      <c r="E54" s="443">
        <v>1354370</v>
      </c>
      <c r="F54" s="443"/>
      <c r="G54" s="443">
        <v>1354370</v>
      </c>
      <c r="H54" s="444"/>
      <c r="I54" s="585"/>
      <c r="J54" s="445"/>
      <c r="K54" s="445"/>
      <c r="L54" s="445"/>
      <c r="M54" s="446">
        <f>9000+9000+9000+100000+9000+2925+9000+9000</f>
        <v>156925</v>
      </c>
      <c r="N54" s="445">
        <f>E54-M54</f>
        <v>1197445</v>
      </c>
      <c r="O54" s="447">
        <f>M54*100/E54</f>
        <v>11.586567924570096</v>
      </c>
      <c r="P54" s="445">
        <v>77300</v>
      </c>
      <c r="Q54" s="448"/>
      <c r="R54" s="438"/>
      <c r="S54" s="313"/>
      <c r="U54" s="314"/>
    </row>
    <row r="55" spans="1:21" s="439" customFormat="1" x14ac:dyDescent="0.3">
      <c r="A55" s="440"/>
      <c r="B55" s="449" t="s">
        <v>60</v>
      </c>
      <c r="C55" s="450"/>
      <c r="D55" s="451">
        <f>F55</f>
        <v>13657000</v>
      </c>
      <c r="E55" s="451"/>
      <c r="F55" s="451">
        <f>F56+F57+F58</f>
        <v>13657000</v>
      </c>
      <c r="G55" s="615"/>
      <c r="H55" s="451"/>
      <c r="I55" s="586"/>
      <c r="J55" s="452">
        <f>J56+J57+J58</f>
        <v>13656600</v>
      </c>
      <c r="K55" s="452">
        <f>K56+K57+K58</f>
        <v>93400</v>
      </c>
      <c r="L55" s="452"/>
      <c r="M55" s="451">
        <f>M56+M57+M58</f>
        <v>12457000</v>
      </c>
      <c r="N55" s="452">
        <f>N56+N57+N58</f>
        <v>1199600</v>
      </c>
      <c r="O55" s="453"/>
      <c r="P55" s="452">
        <v>0</v>
      </c>
      <c r="Q55" s="399"/>
      <c r="R55" s="438"/>
      <c r="S55" s="313"/>
      <c r="U55" s="314"/>
    </row>
    <row r="56" spans="1:21" s="439" customFormat="1" ht="37.5" x14ac:dyDescent="0.3">
      <c r="A56" s="454">
        <v>37</v>
      </c>
      <c r="B56" s="885" t="s">
        <v>45</v>
      </c>
      <c r="C56" s="832"/>
      <c r="D56" s="451">
        <f>F56</f>
        <v>1200000</v>
      </c>
      <c r="E56" s="451">
        <v>0</v>
      </c>
      <c r="F56" s="302">
        <v>1200000</v>
      </c>
      <c r="G56" s="302">
        <v>1200000</v>
      </c>
      <c r="H56" s="300" t="s">
        <v>302</v>
      </c>
      <c r="I56" s="587" t="s">
        <v>351</v>
      </c>
      <c r="J56" s="455">
        <v>1199600</v>
      </c>
      <c r="K56" s="455">
        <f>F56-J56</f>
        <v>400</v>
      </c>
      <c r="L56" s="455"/>
      <c r="M56" s="456">
        <v>0</v>
      </c>
      <c r="N56" s="455">
        <f>J56-M56</f>
        <v>1199600</v>
      </c>
      <c r="O56" s="457"/>
      <c r="P56" s="455">
        <v>0</v>
      </c>
      <c r="Q56" s="399" t="s">
        <v>171</v>
      </c>
      <c r="R56" s="438"/>
      <c r="S56" s="313" t="e">
        <f>S53</f>
        <v>#REF!</v>
      </c>
      <c r="U56" s="314"/>
    </row>
    <row r="57" spans="1:21" s="439" customFormat="1" ht="37.5" x14ac:dyDescent="0.3">
      <c r="A57" s="454">
        <v>38</v>
      </c>
      <c r="B57" s="885" t="s">
        <v>44</v>
      </c>
      <c r="C57" s="832"/>
      <c r="D57" s="451">
        <v>900000</v>
      </c>
      <c r="E57" s="451">
        <v>0</v>
      </c>
      <c r="F57" s="302">
        <v>807000</v>
      </c>
      <c r="G57" s="302">
        <v>807000</v>
      </c>
      <c r="H57" s="300" t="s">
        <v>336</v>
      </c>
      <c r="I57" s="588" t="s">
        <v>357</v>
      </c>
      <c r="J57" s="455">
        <v>807000</v>
      </c>
      <c r="K57" s="455">
        <v>93000</v>
      </c>
      <c r="L57" s="455"/>
      <c r="M57" s="456">
        <v>807000</v>
      </c>
      <c r="N57" s="455">
        <f>J57-M57</f>
        <v>0</v>
      </c>
      <c r="O57" s="453">
        <v>100</v>
      </c>
      <c r="P57" s="455">
        <v>0</v>
      </c>
      <c r="Q57" s="399" t="s">
        <v>171</v>
      </c>
      <c r="R57" s="438"/>
      <c r="S57" s="313" t="e">
        <f>S56</f>
        <v>#REF!</v>
      </c>
      <c r="U57" s="314"/>
    </row>
    <row r="58" spans="1:21" s="439" customFormat="1" ht="37.5" x14ac:dyDescent="0.3">
      <c r="A58" s="459">
        <v>39</v>
      </c>
      <c r="B58" s="833" t="s">
        <v>120</v>
      </c>
      <c r="C58" s="834"/>
      <c r="D58" s="443">
        <f>F58</f>
        <v>11650000</v>
      </c>
      <c r="E58" s="460">
        <v>0</v>
      </c>
      <c r="F58" s="461">
        <v>11650000</v>
      </c>
      <c r="G58" s="461">
        <v>11650000</v>
      </c>
      <c r="H58" s="462" t="s">
        <v>303</v>
      </c>
      <c r="I58" s="589" t="s">
        <v>358</v>
      </c>
      <c r="J58" s="464">
        <v>11650000</v>
      </c>
      <c r="K58" s="465">
        <f>F58-J58</f>
        <v>0</v>
      </c>
      <c r="L58" s="491"/>
      <c r="M58" s="466">
        <f>11650000</f>
        <v>11650000</v>
      </c>
      <c r="N58" s="465">
        <f>J58-M58</f>
        <v>0</v>
      </c>
      <c r="O58" s="467">
        <f>M58/J58*100</f>
        <v>100</v>
      </c>
      <c r="P58" s="464">
        <v>0</v>
      </c>
      <c r="Q58" s="448" t="s">
        <v>171</v>
      </c>
      <c r="R58" s="438"/>
      <c r="S58" s="313" t="e">
        <f>S57</f>
        <v>#REF!</v>
      </c>
      <c r="U58" s="314"/>
    </row>
    <row r="59" spans="1:21" s="439" customFormat="1" ht="37.5" x14ac:dyDescent="0.3">
      <c r="A59" s="468"/>
      <c r="B59" s="860" t="s">
        <v>347</v>
      </c>
      <c r="C59" s="861"/>
      <c r="D59" s="432">
        <f>E59+F59</f>
        <v>11036590</v>
      </c>
      <c r="E59" s="432">
        <f>E60</f>
        <v>1025590</v>
      </c>
      <c r="F59" s="432">
        <f>F61</f>
        <v>10011000</v>
      </c>
      <c r="G59" s="616"/>
      <c r="H59" s="432"/>
      <c r="I59" s="584"/>
      <c r="J59" s="434">
        <f>J61</f>
        <v>8454366.6899999995</v>
      </c>
      <c r="K59" s="434">
        <f>K61</f>
        <v>1556633.31</v>
      </c>
      <c r="L59" s="434"/>
      <c r="M59" s="435">
        <f>M60+M61</f>
        <v>3917122.69</v>
      </c>
      <c r="N59" s="436">
        <f>N60+N61</f>
        <v>5562834</v>
      </c>
      <c r="O59" s="437">
        <f>M59*100/D59</f>
        <v>35.492146487275505</v>
      </c>
      <c r="P59" s="434">
        <f>P60+P61</f>
        <v>1051000</v>
      </c>
      <c r="Q59" s="393" t="s">
        <v>171</v>
      </c>
      <c r="R59" s="438"/>
      <c r="S59" s="313" t="e">
        <f>#REF!</f>
        <v>#REF!</v>
      </c>
      <c r="U59" s="314"/>
    </row>
    <row r="60" spans="1:21" s="439" customFormat="1" x14ac:dyDescent="0.3">
      <c r="A60" s="469">
        <v>40</v>
      </c>
      <c r="B60" s="441" t="s">
        <v>61</v>
      </c>
      <c r="C60" s="442"/>
      <c r="D60" s="443">
        <f>E60</f>
        <v>1025590</v>
      </c>
      <c r="E60" s="443">
        <v>1025590</v>
      </c>
      <c r="F60" s="443"/>
      <c r="G60" s="443">
        <v>1025590</v>
      </c>
      <c r="H60" s="451"/>
      <c r="I60" s="585"/>
      <c r="J60" s="445"/>
      <c r="K60" s="445"/>
      <c r="L60" s="445"/>
      <c r="M60" s="446">
        <f>26730+10800+100000+39416+3310+2500+40000</f>
        <v>222756</v>
      </c>
      <c r="N60" s="445">
        <f>E60-M60</f>
        <v>802834</v>
      </c>
      <c r="O60" s="447">
        <f>M60*100/E60</f>
        <v>21.719790559580339</v>
      </c>
      <c r="P60" s="445">
        <v>0</v>
      </c>
      <c r="Q60" s="448"/>
      <c r="R60" s="438"/>
      <c r="S60" s="313"/>
      <c r="U60" s="314"/>
    </row>
    <row r="61" spans="1:21" s="439" customFormat="1" x14ac:dyDescent="0.3">
      <c r="A61" s="469"/>
      <c r="B61" s="441" t="s">
        <v>60</v>
      </c>
      <c r="C61" s="442"/>
      <c r="D61" s="443">
        <f>F61</f>
        <v>10011000</v>
      </c>
      <c r="E61" s="443"/>
      <c r="F61" s="443">
        <f>F62+F63+F64+F65+F66+F67+F68</f>
        <v>10011000</v>
      </c>
      <c r="G61" s="615"/>
      <c r="H61" s="451"/>
      <c r="I61" s="585"/>
      <c r="J61" s="470">
        <f>J62+J63+J64+J65+J66+J67+J68</f>
        <v>8454366.6899999995</v>
      </c>
      <c r="K61" s="470">
        <f>K62+K63+K64+K65+K66+K67+K68</f>
        <v>1556633.31</v>
      </c>
      <c r="L61" s="470"/>
      <c r="M61" s="640">
        <f>M62+M63+M64+M65+M66+M67+M68</f>
        <v>3694366.69</v>
      </c>
      <c r="N61" s="470">
        <f>N62+N63+N64+N65+N66+N67+N68</f>
        <v>4760000</v>
      </c>
      <c r="O61" s="471"/>
      <c r="P61" s="445">
        <f>SUM(P62:P68)</f>
        <v>1051000</v>
      </c>
      <c r="Q61" s="448"/>
      <c r="R61" s="438"/>
      <c r="S61" s="313"/>
      <c r="U61" s="314"/>
    </row>
    <row r="62" spans="1:21" s="439" customFormat="1" ht="37.5" x14ac:dyDescent="0.3">
      <c r="A62" s="469">
        <v>41</v>
      </c>
      <c r="B62" s="885" t="s">
        <v>246</v>
      </c>
      <c r="C62" s="832"/>
      <c r="D62" s="443">
        <f t="shared" ref="D62:D68" si="7">F62</f>
        <v>6651000</v>
      </c>
      <c r="E62" s="443"/>
      <c r="F62" s="472">
        <v>6651000</v>
      </c>
      <c r="G62" s="472">
        <v>6651000</v>
      </c>
      <c r="H62" s="300" t="s">
        <v>311</v>
      </c>
      <c r="I62" s="590" t="s">
        <v>337</v>
      </c>
      <c r="J62" s="465">
        <v>5600000</v>
      </c>
      <c r="K62" s="473">
        <f>F62-J62</f>
        <v>1051000</v>
      </c>
      <c r="L62" s="473"/>
      <c r="M62" s="474">
        <f>840000</f>
        <v>840000</v>
      </c>
      <c r="N62" s="473">
        <f t="shared" ref="N62:N68" si="8">J62-M62</f>
        <v>4760000</v>
      </c>
      <c r="O62" s="475">
        <f t="shared" ref="O62:O68" si="9">M62/J62*100</f>
        <v>15</v>
      </c>
      <c r="P62" s="465">
        <f>K62</f>
        <v>1051000</v>
      </c>
      <c r="Q62" s="448" t="s">
        <v>145</v>
      </c>
      <c r="R62" s="438"/>
      <c r="S62" s="313" t="e">
        <f>S59</f>
        <v>#REF!</v>
      </c>
      <c r="U62" s="314"/>
    </row>
    <row r="63" spans="1:21" s="439" customFormat="1" ht="37.5" x14ac:dyDescent="0.3">
      <c r="A63" s="454">
        <v>42</v>
      </c>
      <c r="B63" s="885" t="s">
        <v>43</v>
      </c>
      <c r="C63" s="832"/>
      <c r="D63" s="443">
        <f t="shared" si="7"/>
        <v>260000</v>
      </c>
      <c r="E63" s="451"/>
      <c r="F63" s="302">
        <v>260000</v>
      </c>
      <c r="G63" s="302">
        <v>260000</v>
      </c>
      <c r="H63" s="458" t="s">
        <v>271</v>
      </c>
      <c r="I63" s="588" t="s">
        <v>338</v>
      </c>
      <c r="J63" s="476">
        <v>254582.13</v>
      </c>
      <c r="K63" s="473">
        <f>F63-J63</f>
        <v>5417.8699999999953</v>
      </c>
      <c r="L63" s="473"/>
      <c r="M63" s="456">
        <f>254582.13</f>
        <v>254582.13</v>
      </c>
      <c r="N63" s="473">
        <f t="shared" si="8"/>
        <v>0</v>
      </c>
      <c r="O63" s="457">
        <f t="shared" si="9"/>
        <v>100</v>
      </c>
      <c r="P63" s="456">
        <v>0</v>
      </c>
      <c r="Q63" s="448" t="s">
        <v>171</v>
      </c>
      <c r="R63" s="438"/>
      <c r="S63" s="313" t="e">
        <f>S62</f>
        <v>#REF!</v>
      </c>
      <c r="U63" s="314"/>
    </row>
    <row r="64" spans="1:21" s="439" customFormat="1" ht="37.5" x14ac:dyDescent="0.3">
      <c r="A64" s="469">
        <v>43</v>
      </c>
      <c r="B64" s="885" t="s">
        <v>122</v>
      </c>
      <c r="C64" s="832"/>
      <c r="D64" s="443">
        <f t="shared" si="7"/>
        <v>400000</v>
      </c>
      <c r="E64" s="451"/>
      <c r="F64" s="302">
        <v>400000</v>
      </c>
      <c r="G64" s="302">
        <v>400000</v>
      </c>
      <c r="H64" s="300" t="s">
        <v>304</v>
      </c>
      <c r="I64" s="588" t="s">
        <v>338</v>
      </c>
      <c r="J64" s="455">
        <v>390399.56</v>
      </c>
      <c r="K64" s="473">
        <f>F64-J64</f>
        <v>9600.4400000000023</v>
      </c>
      <c r="L64" s="473"/>
      <c r="M64" s="456">
        <f>390399.56</f>
        <v>390399.56</v>
      </c>
      <c r="N64" s="473">
        <f t="shared" si="8"/>
        <v>0</v>
      </c>
      <c r="O64" s="457">
        <f t="shared" si="9"/>
        <v>100</v>
      </c>
      <c r="P64" s="455">
        <v>0</v>
      </c>
      <c r="Q64" s="448" t="s">
        <v>171</v>
      </c>
      <c r="R64" s="438"/>
      <c r="S64" s="313"/>
      <c r="U64" s="314"/>
    </row>
    <row r="65" spans="1:21" s="439" customFormat="1" ht="37.5" x14ac:dyDescent="0.3">
      <c r="A65" s="477">
        <v>44</v>
      </c>
      <c r="B65" s="886" t="s">
        <v>42</v>
      </c>
      <c r="C65" s="887"/>
      <c r="D65" s="478">
        <f t="shared" si="7"/>
        <v>400000</v>
      </c>
      <c r="E65" s="478"/>
      <c r="F65" s="479">
        <v>400000</v>
      </c>
      <c r="G65" s="479">
        <v>400000</v>
      </c>
      <c r="H65" s="480" t="s">
        <v>304</v>
      </c>
      <c r="I65" s="591" t="s">
        <v>338</v>
      </c>
      <c r="J65" s="481">
        <v>396385</v>
      </c>
      <c r="K65" s="482">
        <f>F65-J65</f>
        <v>3615</v>
      </c>
      <c r="L65" s="482"/>
      <c r="M65" s="483">
        <f>396385</f>
        <v>396385</v>
      </c>
      <c r="N65" s="482">
        <f t="shared" si="8"/>
        <v>0</v>
      </c>
      <c r="O65" s="484">
        <f t="shared" si="9"/>
        <v>100</v>
      </c>
      <c r="P65" s="481">
        <v>0</v>
      </c>
      <c r="Q65" s="485" t="s">
        <v>171</v>
      </c>
      <c r="R65" s="438"/>
      <c r="S65" s="313"/>
      <c r="U65" s="314"/>
    </row>
    <row r="66" spans="1:21" s="439" customFormat="1" ht="40.5" customHeight="1" x14ac:dyDescent="0.3">
      <c r="A66" s="469">
        <v>45</v>
      </c>
      <c r="B66" s="901" t="s">
        <v>41</v>
      </c>
      <c r="C66" s="902"/>
      <c r="D66" s="443">
        <f t="shared" si="7"/>
        <v>600000</v>
      </c>
      <c r="E66" s="443"/>
      <c r="F66" s="472">
        <v>600000</v>
      </c>
      <c r="G66" s="472">
        <v>600000</v>
      </c>
      <c r="H66" s="406" t="s">
        <v>310</v>
      </c>
      <c r="I66" s="592" t="s">
        <v>272</v>
      </c>
      <c r="J66" s="465">
        <v>528000</v>
      </c>
      <c r="K66" s="473">
        <f>F66-J66</f>
        <v>72000</v>
      </c>
      <c r="L66" s="473"/>
      <c r="M66" s="474">
        <f>528000</f>
        <v>528000</v>
      </c>
      <c r="N66" s="473">
        <f t="shared" si="8"/>
        <v>0</v>
      </c>
      <c r="O66" s="475">
        <f t="shared" si="9"/>
        <v>100</v>
      </c>
      <c r="P66" s="465">
        <v>0</v>
      </c>
      <c r="Q66" s="448" t="s">
        <v>171</v>
      </c>
      <c r="R66" s="438"/>
      <c r="S66" s="313"/>
      <c r="U66" s="314"/>
    </row>
    <row r="67" spans="1:21" s="439" customFormat="1" ht="37.5" x14ac:dyDescent="0.3">
      <c r="A67" s="454">
        <v>46</v>
      </c>
      <c r="B67" s="885" t="s">
        <v>123</v>
      </c>
      <c r="C67" s="832"/>
      <c r="D67" s="443">
        <f t="shared" si="7"/>
        <v>1200000</v>
      </c>
      <c r="E67" s="451"/>
      <c r="F67" s="302">
        <v>1200000</v>
      </c>
      <c r="G67" s="302">
        <v>1200000</v>
      </c>
      <c r="H67" s="300" t="s">
        <v>305</v>
      </c>
      <c r="I67" s="587" t="s">
        <v>301</v>
      </c>
      <c r="J67" s="455">
        <v>800000</v>
      </c>
      <c r="K67" s="465">
        <v>400000</v>
      </c>
      <c r="L67" s="465"/>
      <c r="M67" s="456">
        <f>800000</f>
        <v>800000</v>
      </c>
      <c r="N67" s="455">
        <f t="shared" si="8"/>
        <v>0</v>
      </c>
      <c r="O67" s="457">
        <f t="shared" si="9"/>
        <v>100</v>
      </c>
      <c r="P67" s="455">
        <v>0</v>
      </c>
      <c r="Q67" s="448" t="s">
        <v>171</v>
      </c>
      <c r="R67" s="438"/>
      <c r="S67" s="313"/>
      <c r="U67" s="314"/>
    </row>
    <row r="68" spans="1:21" s="439" customFormat="1" ht="37.5" x14ac:dyDescent="0.3">
      <c r="A68" s="477">
        <v>47</v>
      </c>
      <c r="B68" s="886" t="s">
        <v>40</v>
      </c>
      <c r="C68" s="887"/>
      <c r="D68" s="478">
        <f t="shared" si="7"/>
        <v>500000</v>
      </c>
      <c r="E68" s="478"/>
      <c r="F68" s="479">
        <v>500000</v>
      </c>
      <c r="G68" s="479">
        <v>500000</v>
      </c>
      <c r="H68" s="480" t="s">
        <v>304</v>
      </c>
      <c r="I68" s="591" t="s">
        <v>281</v>
      </c>
      <c r="J68" s="481">
        <v>485000</v>
      </c>
      <c r="K68" s="481">
        <f>F68-J68</f>
        <v>15000</v>
      </c>
      <c r="L68" s="481"/>
      <c r="M68" s="483">
        <v>485000</v>
      </c>
      <c r="N68" s="481">
        <f t="shared" si="8"/>
        <v>0</v>
      </c>
      <c r="O68" s="484">
        <f t="shared" si="9"/>
        <v>100</v>
      </c>
      <c r="P68" s="481">
        <v>0</v>
      </c>
      <c r="Q68" s="485" t="s">
        <v>171</v>
      </c>
      <c r="R68" s="438"/>
      <c r="S68" s="313" t="e">
        <f>S63</f>
        <v>#REF!</v>
      </c>
      <c r="U68" s="314"/>
    </row>
    <row r="69" spans="1:21" s="439" customFormat="1" ht="37.5" x14ac:dyDescent="0.3">
      <c r="A69" s="469"/>
      <c r="B69" s="901" t="s">
        <v>169</v>
      </c>
      <c r="C69" s="902"/>
      <c r="D69" s="443">
        <f>E69+F69</f>
        <v>4733500</v>
      </c>
      <c r="E69" s="443">
        <f>E70</f>
        <v>2681500</v>
      </c>
      <c r="F69" s="443">
        <v>2052000</v>
      </c>
      <c r="G69" s="617"/>
      <c r="H69" s="443"/>
      <c r="I69" s="585"/>
      <c r="J69" s="445">
        <f>J71</f>
        <v>1658500</v>
      </c>
      <c r="K69" s="445">
        <f>K71</f>
        <v>64500</v>
      </c>
      <c r="L69" s="445"/>
      <c r="M69" s="446">
        <f>M70+M71</f>
        <v>3336442.96</v>
      </c>
      <c r="N69" s="465">
        <f>N70+N71</f>
        <v>1003557.04</v>
      </c>
      <c r="O69" s="447">
        <f>M69*100/D69</f>
        <v>70.485749656702225</v>
      </c>
      <c r="P69" s="445">
        <v>0</v>
      </c>
      <c r="Q69" s="448" t="s">
        <v>171</v>
      </c>
      <c r="R69" s="438"/>
      <c r="S69" s="313" t="e">
        <f>#REF!</f>
        <v>#REF!</v>
      </c>
      <c r="U69" s="314"/>
    </row>
    <row r="70" spans="1:21" s="439" customFormat="1" x14ac:dyDescent="0.3">
      <c r="A70" s="469">
        <v>48</v>
      </c>
      <c r="B70" s="441" t="s">
        <v>61</v>
      </c>
      <c r="C70" s="442"/>
      <c r="D70" s="443">
        <f>E70</f>
        <v>2681500</v>
      </c>
      <c r="E70" s="443">
        <v>2681500</v>
      </c>
      <c r="F70" s="443"/>
      <c r="G70" s="443">
        <v>2681500</v>
      </c>
      <c r="H70" s="451"/>
      <c r="I70" s="586"/>
      <c r="J70" s="445"/>
      <c r="K70" s="445"/>
      <c r="L70" s="445"/>
      <c r="M70" s="446">
        <f>90000+6967.74+42420+48728.58+18389.92+369000+99000+8000+99000+18364.15+4650+1000+254582.13+18158.99+94064.51+200000+24000+45180+96750+22140.73+96096.78+21449.43</f>
        <v>1677942.96</v>
      </c>
      <c r="N70" s="465">
        <f>E70-M70</f>
        <v>1003557.04</v>
      </c>
      <c r="O70" s="447">
        <f>M70*100/E70</f>
        <v>62.574788737646841</v>
      </c>
      <c r="P70" s="445">
        <v>0</v>
      </c>
      <c r="Q70" s="448"/>
      <c r="R70" s="438"/>
      <c r="S70" s="313"/>
      <c r="U70" s="314"/>
    </row>
    <row r="71" spans="1:21" s="439" customFormat="1" x14ac:dyDescent="0.3">
      <c r="A71" s="469"/>
      <c r="B71" s="441" t="s">
        <v>60</v>
      </c>
      <c r="C71" s="442"/>
      <c r="D71" s="443">
        <f>F71</f>
        <v>2052000</v>
      </c>
      <c r="E71" s="443"/>
      <c r="F71" s="443">
        <f>F72+F73+F74+F75+F76+F77+F78+F79</f>
        <v>2052000</v>
      </c>
      <c r="G71" s="618"/>
      <c r="H71" s="443"/>
      <c r="I71" s="585"/>
      <c r="J71" s="445">
        <f>J72+J73+J75+J76+J77+J78+J79+J74</f>
        <v>1658500</v>
      </c>
      <c r="K71" s="445">
        <f>K72+K73+K75+K76+K77+K78+K79+K74</f>
        <v>64500</v>
      </c>
      <c r="L71" s="445"/>
      <c r="M71" s="446">
        <f>M72+M73+M75+M76+M77+M78+M79+M74</f>
        <v>1658500</v>
      </c>
      <c r="N71" s="470">
        <f>N72+N73+N75+N76+N77+N78+N79+N74</f>
        <v>0</v>
      </c>
      <c r="O71" s="447">
        <f t="shared" ref="O71:O78" si="10">M71*100/J71</f>
        <v>100</v>
      </c>
      <c r="P71" s="445">
        <v>0</v>
      </c>
      <c r="Q71" s="448"/>
      <c r="R71" s="438"/>
      <c r="S71" s="313"/>
      <c r="U71" s="314"/>
    </row>
    <row r="72" spans="1:21" s="439" customFormat="1" ht="37.5" x14ac:dyDescent="0.3">
      <c r="A72" s="454">
        <v>49</v>
      </c>
      <c r="B72" s="885" t="s">
        <v>39</v>
      </c>
      <c r="C72" s="832"/>
      <c r="D72" s="451">
        <f t="shared" ref="D72:D79" si="11">F72</f>
        <v>10000</v>
      </c>
      <c r="E72" s="451"/>
      <c r="F72" s="302">
        <v>10000</v>
      </c>
      <c r="G72" s="302">
        <v>10000</v>
      </c>
      <c r="H72" s="458" t="s">
        <v>288</v>
      </c>
      <c r="I72" s="587" t="s">
        <v>266</v>
      </c>
      <c r="J72" s="455">
        <v>10000</v>
      </c>
      <c r="K72" s="455">
        <f>F72-J72</f>
        <v>0</v>
      </c>
      <c r="L72" s="455"/>
      <c r="M72" s="456">
        <f>10000</f>
        <v>10000</v>
      </c>
      <c r="N72" s="455">
        <f t="shared" ref="N72:N78" si="12">J72-M72</f>
        <v>0</v>
      </c>
      <c r="O72" s="453">
        <f t="shared" si="10"/>
        <v>100</v>
      </c>
      <c r="P72" s="455">
        <v>0</v>
      </c>
      <c r="Q72" s="399" t="s">
        <v>171</v>
      </c>
      <c r="R72" s="438"/>
      <c r="S72" s="313" t="e">
        <f>S69</f>
        <v>#REF!</v>
      </c>
      <c r="U72" s="314"/>
    </row>
    <row r="73" spans="1:21" s="439" customFormat="1" ht="47.25" x14ac:dyDescent="0.3">
      <c r="A73" s="454">
        <v>50</v>
      </c>
      <c r="B73" s="885" t="s">
        <v>38</v>
      </c>
      <c r="C73" s="832"/>
      <c r="D73" s="451">
        <f t="shared" si="11"/>
        <v>648000</v>
      </c>
      <c r="E73" s="451"/>
      <c r="F73" s="302">
        <v>648000</v>
      </c>
      <c r="G73" s="302">
        <v>648000</v>
      </c>
      <c r="H73" s="300" t="s">
        <v>306</v>
      </c>
      <c r="I73" s="587" t="s">
        <v>359</v>
      </c>
      <c r="J73" s="455">
        <v>588000</v>
      </c>
      <c r="K73" s="455">
        <v>60000</v>
      </c>
      <c r="L73" s="455"/>
      <c r="M73" s="456">
        <v>588000</v>
      </c>
      <c r="N73" s="455">
        <f t="shared" si="12"/>
        <v>0</v>
      </c>
      <c r="O73" s="447">
        <f t="shared" si="10"/>
        <v>100</v>
      </c>
      <c r="P73" s="455">
        <v>0</v>
      </c>
      <c r="Q73" s="448" t="s">
        <v>171</v>
      </c>
      <c r="R73" s="438"/>
      <c r="S73" s="313" t="e">
        <f>S72</f>
        <v>#REF!</v>
      </c>
      <c r="U73" s="314"/>
    </row>
    <row r="74" spans="1:21" s="439" customFormat="1" ht="37.5" x14ac:dyDescent="0.3">
      <c r="A74" s="469">
        <v>51</v>
      </c>
      <c r="B74" s="901" t="s">
        <v>37</v>
      </c>
      <c r="C74" s="902"/>
      <c r="D74" s="443">
        <f t="shared" si="11"/>
        <v>32000</v>
      </c>
      <c r="E74" s="443"/>
      <c r="F74" s="472">
        <v>32000</v>
      </c>
      <c r="G74" s="472">
        <v>32000</v>
      </c>
      <c r="H74" s="486" t="s">
        <v>288</v>
      </c>
      <c r="I74" s="590" t="s">
        <v>266</v>
      </c>
      <c r="J74" s="465">
        <v>32000</v>
      </c>
      <c r="K74" s="465">
        <f t="shared" ref="K74:K78" si="13">F74-J74</f>
        <v>0</v>
      </c>
      <c r="L74" s="465"/>
      <c r="M74" s="474">
        <v>32000</v>
      </c>
      <c r="N74" s="465">
        <f t="shared" si="12"/>
        <v>0</v>
      </c>
      <c r="O74" s="447">
        <f t="shared" si="10"/>
        <v>100</v>
      </c>
      <c r="P74" s="465">
        <v>0</v>
      </c>
      <c r="Q74" s="448" t="s">
        <v>171</v>
      </c>
      <c r="R74" s="438"/>
      <c r="S74" s="313"/>
      <c r="U74" s="314"/>
    </row>
    <row r="75" spans="1:21" s="439" customFormat="1" ht="37.5" x14ac:dyDescent="0.3">
      <c r="A75" s="487">
        <v>52</v>
      </c>
      <c r="B75" s="885" t="s">
        <v>170</v>
      </c>
      <c r="C75" s="832"/>
      <c r="D75" s="443">
        <f t="shared" si="11"/>
        <v>10000</v>
      </c>
      <c r="E75" s="451"/>
      <c r="F75" s="302">
        <v>10000</v>
      </c>
      <c r="G75" s="302">
        <v>10000</v>
      </c>
      <c r="H75" s="458" t="s">
        <v>288</v>
      </c>
      <c r="I75" s="587" t="s">
        <v>266</v>
      </c>
      <c r="J75" s="455">
        <v>10000</v>
      </c>
      <c r="K75" s="455">
        <f t="shared" si="13"/>
        <v>0</v>
      </c>
      <c r="L75" s="455"/>
      <c r="M75" s="456">
        <v>10000</v>
      </c>
      <c r="N75" s="465">
        <f t="shared" si="12"/>
        <v>0</v>
      </c>
      <c r="O75" s="447">
        <f t="shared" si="10"/>
        <v>100</v>
      </c>
      <c r="P75" s="455">
        <v>0</v>
      </c>
      <c r="Q75" s="448" t="s">
        <v>171</v>
      </c>
      <c r="R75" s="438"/>
      <c r="S75" s="313"/>
      <c r="U75" s="314"/>
    </row>
    <row r="76" spans="1:21" s="439" customFormat="1" ht="37.5" x14ac:dyDescent="0.3">
      <c r="A76" s="454">
        <v>53</v>
      </c>
      <c r="B76" s="885" t="s">
        <v>35</v>
      </c>
      <c r="C76" s="832"/>
      <c r="D76" s="443">
        <f t="shared" si="11"/>
        <v>25000</v>
      </c>
      <c r="E76" s="451"/>
      <c r="F76" s="302">
        <v>25000</v>
      </c>
      <c r="G76" s="302">
        <v>25000</v>
      </c>
      <c r="H76" s="488" t="s">
        <v>288</v>
      </c>
      <c r="I76" s="587" t="s">
        <v>266</v>
      </c>
      <c r="J76" s="455">
        <v>25000</v>
      </c>
      <c r="K76" s="455">
        <f t="shared" si="13"/>
        <v>0</v>
      </c>
      <c r="L76" s="455"/>
      <c r="M76" s="456">
        <v>25000</v>
      </c>
      <c r="N76" s="465">
        <f t="shared" si="12"/>
        <v>0</v>
      </c>
      <c r="O76" s="447">
        <f t="shared" si="10"/>
        <v>100</v>
      </c>
      <c r="P76" s="455">
        <v>0</v>
      </c>
      <c r="Q76" s="448" t="s">
        <v>171</v>
      </c>
      <c r="R76" s="438"/>
      <c r="S76" s="313"/>
      <c r="U76" s="314"/>
    </row>
    <row r="77" spans="1:21" s="439" customFormat="1" ht="47.25" x14ac:dyDescent="0.3">
      <c r="A77" s="487">
        <v>54</v>
      </c>
      <c r="B77" s="885" t="s">
        <v>125</v>
      </c>
      <c r="C77" s="832"/>
      <c r="D77" s="443">
        <f t="shared" si="11"/>
        <v>423000</v>
      </c>
      <c r="E77" s="451"/>
      <c r="F77" s="302">
        <v>423000</v>
      </c>
      <c r="G77" s="302">
        <v>423000</v>
      </c>
      <c r="H77" s="489" t="s">
        <v>282</v>
      </c>
      <c r="I77" s="587" t="s">
        <v>360</v>
      </c>
      <c r="J77" s="455">
        <v>423000</v>
      </c>
      <c r="K77" s="455">
        <f t="shared" si="13"/>
        <v>0</v>
      </c>
      <c r="L77" s="455"/>
      <c r="M77" s="456">
        <f>423000</f>
        <v>423000</v>
      </c>
      <c r="N77" s="465">
        <f t="shared" si="12"/>
        <v>0</v>
      </c>
      <c r="O77" s="447">
        <f t="shared" si="10"/>
        <v>100</v>
      </c>
      <c r="P77" s="455">
        <v>0</v>
      </c>
      <c r="Q77" s="448" t="s">
        <v>171</v>
      </c>
      <c r="R77" s="438"/>
      <c r="S77" s="313"/>
      <c r="U77" s="314"/>
    </row>
    <row r="78" spans="1:21" s="439" customFormat="1" ht="37.5" x14ac:dyDescent="0.3">
      <c r="A78" s="454">
        <v>55</v>
      </c>
      <c r="B78" s="885" t="s">
        <v>34</v>
      </c>
      <c r="C78" s="832"/>
      <c r="D78" s="443">
        <f t="shared" si="11"/>
        <v>204000</v>
      </c>
      <c r="E78" s="443"/>
      <c r="F78" s="472">
        <v>204000</v>
      </c>
      <c r="G78" s="472">
        <v>204000</v>
      </c>
      <c r="H78" s="490" t="s">
        <v>283</v>
      </c>
      <c r="I78" s="593" t="s">
        <v>262</v>
      </c>
      <c r="J78" s="465">
        <v>201500</v>
      </c>
      <c r="K78" s="455">
        <f t="shared" si="13"/>
        <v>2500</v>
      </c>
      <c r="L78" s="465"/>
      <c r="M78" s="474">
        <f>201500</f>
        <v>201500</v>
      </c>
      <c r="N78" s="465">
        <f t="shared" si="12"/>
        <v>0</v>
      </c>
      <c r="O78" s="447">
        <f t="shared" si="10"/>
        <v>100</v>
      </c>
      <c r="P78" s="465">
        <v>0</v>
      </c>
      <c r="Q78" s="448" t="s">
        <v>171</v>
      </c>
      <c r="R78" s="438"/>
      <c r="S78" s="313" t="e">
        <f>S73</f>
        <v>#REF!</v>
      </c>
      <c r="U78" s="314"/>
    </row>
    <row r="79" spans="1:21" s="439" customFormat="1" ht="37.5" x14ac:dyDescent="0.3">
      <c r="A79" s="487">
        <v>56</v>
      </c>
      <c r="B79" s="886" t="s">
        <v>33</v>
      </c>
      <c r="C79" s="887"/>
      <c r="D79" s="443">
        <f t="shared" si="11"/>
        <v>700000</v>
      </c>
      <c r="E79" s="460"/>
      <c r="F79" s="461">
        <v>700000</v>
      </c>
      <c r="G79" s="461">
        <v>371000</v>
      </c>
      <c r="H79" s="463" t="s">
        <v>261</v>
      </c>
      <c r="I79" s="574" t="s">
        <v>263</v>
      </c>
      <c r="J79" s="464">
        <v>369000</v>
      </c>
      <c r="K79" s="455">
        <f>G79-J79</f>
        <v>2000</v>
      </c>
      <c r="L79" s="481">
        <f>F79-J79</f>
        <v>331000</v>
      </c>
      <c r="M79" s="466">
        <v>369000</v>
      </c>
      <c r="N79" s="481">
        <v>0</v>
      </c>
      <c r="O79" s="447">
        <v>100</v>
      </c>
      <c r="P79" s="464">
        <v>0</v>
      </c>
      <c r="Q79" s="448" t="s">
        <v>171</v>
      </c>
      <c r="R79" s="438"/>
      <c r="S79" s="313" t="e">
        <f>S78</f>
        <v>#REF!</v>
      </c>
      <c r="U79" s="314"/>
    </row>
    <row r="80" spans="1:21" s="499" customFormat="1" x14ac:dyDescent="0.3">
      <c r="A80" s="492"/>
      <c r="B80" s="856" t="s">
        <v>32</v>
      </c>
      <c r="C80" s="857"/>
      <c r="D80" s="493">
        <f>SUM(D81:D81)</f>
        <v>400000</v>
      </c>
      <c r="E80" s="493">
        <v>400000</v>
      </c>
      <c r="F80" s="493">
        <f>F81</f>
        <v>0</v>
      </c>
      <c r="G80" s="619"/>
      <c r="H80" s="493"/>
      <c r="I80" s="594"/>
      <c r="J80" s="494">
        <f t="shared" ref="J80:P80" si="14">J81</f>
        <v>0</v>
      </c>
      <c r="K80" s="494">
        <f t="shared" si="14"/>
        <v>0</v>
      </c>
      <c r="L80" s="494"/>
      <c r="M80" s="493">
        <f t="shared" si="14"/>
        <v>350000</v>
      </c>
      <c r="N80" s="495">
        <f>N81</f>
        <v>50000</v>
      </c>
      <c r="O80" s="496">
        <f>M80*100/E80</f>
        <v>87.5</v>
      </c>
      <c r="P80" s="494">
        <f t="shared" si="14"/>
        <v>0</v>
      </c>
      <c r="Q80" s="497"/>
      <c r="R80" s="498"/>
      <c r="S80" s="313" t="e">
        <f>S79</f>
        <v>#REF!</v>
      </c>
      <c r="U80" s="314"/>
    </row>
    <row r="81" spans="1:21" s="427" customFormat="1" x14ac:dyDescent="0.3">
      <c r="A81" s="331">
        <v>57</v>
      </c>
      <c r="B81" s="851" t="s">
        <v>31</v>
      </c>
      <c r="C81" s="852"/>
      <c r="D81" s="338">
        <v>400000</v>
      </c>
      <c r="E81" s="338">
        <v>400000</v>
      </c>
      <c r="F81" s="338">
        <v>0</v>
      </c>
      <c r="G81" s="338">
        <v>400000</v>
      </c>
      <c r="H81" s="338"/>
      <c r="I81" s="569"/>
      <c r="J81" s="339"/>
      <c r="K81" s="339"/>
      <c r="L81" s="339"/>
      <c r="M81" s="340">
        <f>350000</f>
        <v>350000</v>
      </c>
      <c r="N81" s="430">
        <f>E81-M81</f>
        <v>50000</v>
      </c>
      <c r="O81" s="500">
        <f>M81*100/E81</f>
        <v>87.5</v>
      </c>
      <c r="P81" s="339">
        <v>0</v>
      </c>
      <c r="Q81" s="342" t="s">
        <v>104</v>
      </c>
      <c r="R81" s="426"/>
      <c r="S81" s="313" t="e">
        <f>#REF!</f>
        <v>#REF!</v>
      </c>
      <c r="U81" s="314"/>
    </row>
    <row r="82" spans="1:21" s="503" customFormat="1" x14ac:dyDescent="0.3">
      <c r="A82" s="501"/>
      <c r="B82" s="856" t="s">
        <v>126</v>
      </c>
      <c r="C82" s="857"/>
      <c r="D82" s="422">
        <f>SUM(D83:D87)</f>
        <v>1898500</v>
      </c>
      <c r="E82" s="422">
        <f>SUM(E83:E87)</f>
        <v>1898500</v>
      </c>
      <c r="F82" s="422">
        <f>SUM(F83:F87)</f>
        <v>0</v>
      </c>
      <c r="G82" s="613"/>
      <c r="H82" s="422"/>
      <c r="I82" s="582"/>
      <c r="J82" s="423">
        <f t="shared" ref="J82:P82" si="15">SUM(J83:J87)</f>
        <v>0</v>
      </c>
      <c r="K82" s="423">
        <f t="shared" si="15"/>
        <v>0</v>
      </c>
      <c r="L82" s="423"/>
      <c r="M82" s="422">
        <f t="shared" si="15"/>
        <v>1279590</v>
      </c>
      <c r="N82" s="495">
        <f>N83+N84+N85+N86+N87</f>
        <v>618910</v>
      </c>
      <c r="O82" s="424">
        <f>M82*100/N82</f>
        <v>206.74896188460357</v>
      </c>
      <c r="P82" s="423">
        <f t="shared" si="15"/>
        <v>9885</v>
      </c>
      <c r="Q82" s="497"/>
      <c r="R82" s="502"/>
      <c r="S82" s="313" t="e">
        <f>#REF!</f>
        <v>#REF!</v>
      </c>
      <c r="U82" s="314"/>
    </row>
    <row r="83" spans="1:21" s="427" customFormat="1" ht="23.25" customHeight="1" x14ac:dyDescent="0.3">
      <c r="A83" s="366">
        <v>58</v>
      </c>
      <c r="B83" s="851" t="s">
        <v>105</v>
      </c>
      <c r="C83" s="852"/>
      <c r="D83" s="429">
        <f>E83+F83</f>
        <v>453350</v>
      </c>
      <c r="E83" s="429">
        <v>453350</v>
      </c>
      <c r="F83" s="429">
        <v>0</v>
      </c>
      <c r="G83" s="429">
        <v>453350</v>
      </c>
      <c r="H83" s="429"/>
      <c r="I83" s="583"/>
      <c r="J83" s="430"/>
      <c r="K83" s="430"/>
      <c r="L83" s="430"/>
      <c r="M83" s="431">
        <f>56000+46000+51000+105000+34615+140350+4000+4600</f>
        <v>441565</v>
      </c>
      <c r="N83" s="430">
        <f>E83-M83</f>
        <v>11785</v>
      </c>
      <c r="O83" s="369">
        <f>M83*100/E84</f>
        <v>58.219394818379591</v>
      </c>
      <c r="P83" s="430">
        <f>9885</f>
        <v>9885</v>
      </c>
      <c r="Q83" s="342" t="s">
        <v>106</v>
      </c>
      <c r="R83" s="426"/>
      <c r="S83" s="313" t="e">
        <f>#REF!</f>
        <v>#REF!</v>
      </c>
      <c r="U83" s="314"/>
    </row>
    <row r="84" spans="1:21" s="427" customFormat="1" ht="42.75" customHeight="1" x14ac:dyDescent="0.3">
      <c r="A84" s="331">
        <v>59</v>
      </c>
      <c r="B84" s="851" t="s">
        <v>384</v>
      </c>
      <c r="C84" s="852"/>
      <c r="D84" s="429">
        <f t="shared" ref="D84:D91" si="16">E84+F84</f>
        <v>758450</v>
      </c>
      <c r="E84" s="429">
        <v>758450</v>
      </c>
      <c r="F84" s="429"/>
      <c r="G84" s="429">
        <v>758450</v>
      </c>
      <c r="H84" s="429"/>
      <c r="I84" s="583"/>
      <c r="J84" s="430"/>
      <c r="K84" s="430"/>
      <c r="L84" s="430"/>
      <c r="M84" s="431">
        <f>23700+23700+23700+118450+16200+24300+24300+16200+16200+16200+76800+5000+1725+5000+20500+76800+20550+1725+58745+54000+375+3000+3000+375+21000</f>
        <v>651545</v>
      </c>
      <c r="N84" s="430">
        <f>E84-M84</f>
        <v>106905</v>
      </c>
      <c r="O84" s="369">
        <f>M84*100/E84</f>
        <v>85.904805854044426</v>
      </c>
      <c r="P84" s="430">
        <v>0</v>
      </c>
      <c r="Q84" s="342" t="s">
        <v>106</v>
      </c>
      <c r="R84" s="426"/>
      <c r="S84" s="313" t="e">
        <f>S83</f>
        <v>#REF!</v>
      </c>
      <c r="U84" s="314"/>
    </row>
    <row r="85" spans="1:21" s="427" customFormat="1" x14ac:dyDescent="0.3">
      <c r="A85" s="331">
        <v>60</v>
      </c>
      <c r="B85" s="851" t="s">
        <v>30</v>
      </c>
      <c r="C85" s="852"/>
      <c r="D85" s="429">
        <f t="shared" si="16"/>
        <v>420000</v>
      </c>
      <c r="E85" s="429">
        <v>420000</v>
      </c>
      <c r="F85" s="429">
        <v>0</v>
      </c>
      <c r="G85" s="429">
        <v>420000</v>
      </c>
      <c r="H85" s="429"/>
      <c r="I85" s="583"/>
      <c r="J85" s="430"/>
      <c r="K85" s="430"/>
      <c r="L85" s="430"/>
      <c r="M85" s="431"/>
      <c r="N85" s="430">
        <f>E85-M85</f>
        <v>420000</v>
      </c>
      <c r="O85" s="369">
        <f>M85*100/E85</f>
        <v>0</v>
      </c>
      <c r="P85" s="430">
        <v>0</v>
      </c>
      <c r="Q85" s="342" t="s">
        <v>106</v>
      </c>
      <c r="R85" s="426"/>
      <c r="S85" s="313" t="e">
        <f>S84</f>
        <v>#REF!</v>
      </c>
      <c r="U85" s="314"/>
    </row>
    <row r="86" spans="1:21" s="427" customFormat="1" x14ac:dyDescent="0.3">
      <c r="A86" s="331">
        <v>61</v>
      </c>
      <c r="B86" s="851" t="s">
        <v>107</v>
      </c>
      <c r="C86" s="852"/>
      <c r="D86" s="429">
        <f t="shared" si="16"/>
        <v>150300</v>
      </c>
      <c r="E86" s="429">
        <v>150300</v>
      </c>
      <c r="F86" s="429">
        <v>0</v>
      </c>
      <c r="G86" s="429">
        <v>150300</v>
      </c>
      <c r="H86" s="429"/>
      <c r="I86" s="583"/>
      <c r="J86" s="430"/>
      <c r="K86" s="430"/>
      <c r="L86" s="430"/>
      <c r="M86" s="431">
        <f>33780+36300</f>
        <v>70080</v>
      </c>
      <c r="N86" s="430">
        <f>E86-M86</f>
        <v>80220</v>
      </c>
      <c r="O86" s="369">
        <f>M86*100/E86</f>
        <v>46.626746506986031</v>
      </c>
      <c r="P86" s="430">
        <v>0</v>
      </c>
      <c r="Q86" s="342" t="s">
        <v>100</v>
      </c>
      <c r="R86" s="426"/>
      <c r="S86" s="313" t="e">
        <f>S85</f>
        <v>#REF!</v>
      </c>
      <c r="U86" s="314"/>
    </row>
    <row r="87" spans="1:21" s="427" customFormat="1" x14ac:dyDescent="0.3">
      <c r="A87" s="331">
        <v>62</v>
      </c>
      <c r="B87" s="851" t="s">
        <v>29</v>
      </c>
      <c r="C87" s="852"/>
      <c r="D87" s="429">
        <f t="shared" si="16"/>
        <v>116400</v>
      </c>
      <c r="E87" s="429">
        <v>116400</v>
      </c>
      <c r="F87" s="429">
        <v>0</v>
      </c>
      <c r="G87" s="429">
        <v>116400</v>
      </c>
      <c r="H87" s="429"/>
      <c r="I87" s="583"/>
      <c r="J87" s="430"/>
      <c r="K87" s="430"/>
      <c r="L87" s="430"/>
      <c r="M87" s="431">
        <f>116400</f>
        <v>116400</v>
      </c>
      <c r="N87" s="430">
        <f>E87-M87</f>
        <v>0</v>
      </c>
      <c r="O87" s="369">
        <f>M87*100/E87</f>
        <v>100</v>
      </c>
      <c r="P87" s="430">
        <v>0</v>
      </c>
      <c r="Q87" s="342" t="s">
        <v>78</v>
      </c>
      <c r="R87" s="426"/>
      <c r="S87" s="313" t="e">
        <f>S86</f>
        <v>#REF!</v>
      </c>
      <c r="U87" s="314"/>
    </row>
    <row r="88" spans="1:21" s="427" customFormat="1" x14ac:dyDescent="0.3">
      <c r="A88" s="504"/>
      <c r="B88" s="849" t="s">
        <v>28</v>
      </c>
      <c r="C88" s="850"/>
      <c r="D88" s="505">
        <f>SUM(D89:D89)</f>
        <v>2700000</v>
      </c>
      <c r="E88" s="505">
        <f>SUM(E89:E89)</f>
        <v>2700000</v>
      </c>
      <c r="F88" s="505">
        <f>F89</f>
        <v>0</v>
      </c>
      <c r="G88" s="620"/>
      <c r="H88" s="505"/>
      <c r="I88" s="595"/>
      <c r="J88" s="506">
        <f t="shared" ref="J88:P88" si="17">J89</f>
        <v>0</v>
      </c>
      <c r="K88" s="506">
        <f t="shared" si="17"/>
        <v>0</v>
      </c>
      <c r="L88" s="506"/>
      <c r="M88" s="507">
        <f t="shared" si="17"/>
        <v>99953</v>
      </c>
      <c r="N88" s="495">
        <f>N89</f>
        <v>2600047</v>
      </c>
      <c r="O88" s="508">
        <f>M88*100/E89</f>
        <v>3.7019629629629631</v>
      </c>
      <c r="P88" s="506">
        <f t="shared" si="17"/>
        <v>0</v>
      </c>
      <c r="Q88" s="425"/>
      <c r="R88" s="426"/>
      <c r="S88" s="313" t="e">
        <f>S87</f>
        <v>#REF!</v>
      </c>
      <c r="U88" s="314"/>
    </row>
    <row r="89" spans="1:21" s="427" customFormat="1" ht="43.5" customHeight="1" x14ac:dyDescent="0.3">
      <c r="A89" s="331">
        <v>63</v>
      </c>
      <c r="B89" s="851" t="s">
        <v>167</v>
      </c>
      <c r="C89" s="852"/>
      <c r="D89" s="429">
        <f t="shared" si="16"/>
        <v>2700000</v>
      </c>
      <c r="E89" s="429">
        <v>2700000</v>
      </c>
      <c r="F89" s="429">
        <v>0</v>
      </c>
      <c r="G89" s="429">
        <v>2700000</v>
      </c>
      <c r="H89" s="429"/>
      <c r="I89" s="583"/>
      <c r="J89" s="430"/>
      <c r="K89" s="430"/>
      <c r="L89" s="430"/>
      <c r="M89" s="431">
        <f>44464+41864+3725+1100+800+8000</f>
        <v>99953</v>
      </c>
      <c r="N89" s="430">
        <f>E89-M89</f>
        <v>2600047</v>
      </c>
      <c r="O89" s="369">
        <f t="shared" ref="O89:O110" si="18">M89*100/E89</f>
        <v>3.7019629629629631</v>
      </c>
      <c r="P89" s="430">
        <v>0</v>
      </c>
      <c r="Q89" s="342" t="s">
        <v>108</v>
      </c>
      <c r="R89" s="426"/>
      <c r="S89" s="313" t="e">
        <f>#REF!</f>
        <v>#REF!</v>
      </c>
      <c r="U89" s="314"/>
    </row>
    <row r="90" spans="1:21" s="421" customFormat="1" x14ac:dyDescent="0.3">
      <c r="A90" s="853" t="s">
        <v>109</v>
      </c>
      <c r="B90" s="854"/>
      <c r="C90" s="855"/>
      <c r="D90" s="509">
        <f>+D92+D94</f>
        <v>10200000</v>
      </c>
      <c r="E90" s="509">
        <f>+E92+E94</f>
        <v>10200000</v>
      </c>
      <c r="F90" s="509">
        <f>+F92+F94</f>
        <v>0</v>
      </c>
      <c r="G90" s="621"/>
      <c r="H90" s="509"/>
      <c r="I90" s="596"/>
      <c r="J90" s="510">
        <f t="shared" ref="J90:M90" si="19">J91</f>
        <v>0</v>
      </c>
      <c r="K90" s="510">
        <f t="shared" si="19"/>
        <v>0</v>
      </c>
      <c r="L90" s="510"/>
      <c r="M90" s="509">
        <f t="shared" si="19"/>
        <v>5530230</v>
      </c>
      <c r="N90" s="511">
        <f>N91</f>
        <v>4669770</v>
      </c>
      <c r="O90" s="512">
        <f t="shared" si="18"/>
        <v>54.217941176470589</v>
      </c>
      <c r="P90" s="510">
        <f>P91</f>
        <v>0</v>
      </c>
      <c r="Q90" s="513"/>
      <c r="R90" s="420"/>
      <c r="S90" s="313" t="e">
        <f>#REF!</f>
        <v>#REF!</v>
      </c>
      <c r="U90" s="314"/>
    </row>
    <row r="91" spans="1:21" s="519" customFormat="1" x14ac:dyDescent="0.3">
      <c r="A91" s="840" t="s">
        <v>27</v>
      </c>
      <c r="B91" s="841"/>
      <c r="C91" s="842"/>
      <c r="D91" s="514">
        <f t="shared" si="16"/>
        <v>10200000</v>
      </c>
      <c r="E91" s="515">
        <f>E92+E94</f>
        <v>10200000</v>
      </c>
      <c r="F91" s="515">
        <f t="shared" ref="F91:P91" si="20">F92+F94</f>
        <v>0</v>
      </c>
      <c r="G91" s="622"/>
      <c r="H91" s="515"/>
      <c r="I91" s="597"/>
      <c r="J91" s="516">
        <f t="shared" si="20"/>
        <v>0</v>
      </c>
      <c r="K91" s="516">
        <f t="shared" si="20"/>
        <v>0</v>
      </c>
      <c r="L91" s="516"/>
      <c r="M91" s="515">
        <f t="shared" si="20"/>
        <v>5530230</v>
      </c>
      <c r="N91" s="516">
        <f>N92+N94</f>
        <v>4669770</v>
      </c>
      <c r="O91" s="517">
        <f t="shared" si="18"/>
        <v>54.217941176470589</v>
      </c>
      <c r="P91" s="516">
        <f t="shared" si="20"/>
        <v>0</v>
      </c>
      <c r="Q91" s="518"/>
      <c r="R91" s="303"/>
      <c r="S91" s="313" t="e">
        <f t="shared" ref="S91:S110" si="21">S90</f>
        <v>#REF!</v>
      </c>
      <c r="U91" s="314"/>
    </row>
    <row r="92" spans="1:21" s="344" customFormat="1" x14ac:dyDescent="0.3">
      <c r="A92" s="520"/>
      <c r="B92" s="843" t="s">
        <v>26</v>
      </c>
      <c r="C92" s="844"/>
      <c r="D92" s="514">
        <f>E92+F92</f>
        <v>600000</v>
      </c>
      <c r="E92" s="521">
        <f>E93</f>
        <v>600000</v>
      </c>
      <c r="F92" s="521">
        <f>F93</f>
        <v>0</v>
      </c>
      <c r="G92" s="623"/>
      <c r="H92" s="521"/>
      <c r="I92" s="598"/>
      <c r="J92" s="522">
        <f t="shared" ref="J92:P92" si="22">J93</f>
        <v>0</v>
      </c>
      <c r="K92" s="522">
        <f t="shared" si="22"/>
        <v>0</v>
      </c>
      <c r="L92" s="522"/>
      <c r="M92" s="521">
        <f t="shared" si="22"/>
        <v>499000</v>
      </c>
      <c r="N92" s="523">
        <f>N93</f>
        <v>101000</v>
      </c>
      <c r="O92" s="524">
        <f t="shared" si="18"/>
        <v>83.166666666666671</v>
      </c>
      <c r="P92" s="522">
        <f t="shared" si="22"/>
        <v>0</v>
      </c>
      <c r="Q92" s="525"/>
      <c r="R92" s="343"/>
      <c r="S92" s="313" t="e">
        <f>#REF!</f>
        <v>#REF!</v>
      </c>
      <c r="U92" s="314"/>
    </row>
    <row r="93" spans="1:21" s="344" customFormat="1" ht="37.5" x14ac:dyDescent="0.3">
      <c r="A93" s="366">
        <v>64</v>
      </c>
      <c r="B93" s="845" t="s">
        <v>25</v>
      </c>
      <c r="C93" s="846"/>
      <c r="D93" s="429">
        <f>E93+F93</f>
        <v>600000</v>
      </c>
      <c r="E93" s="429">
        <v>600000</v>
      </c>
      <c r="F93" s="429">
        <v>0</v>
      </c>
      <c r="G93" s="429">
        <v>600000</v>
      </c>
      <c r="H93" s="526"/>
      <c r="I93" s="599"/>
      <c r="J93" s="527"/>
      <c r="K93" s="527"/>
      <c r="L93" s="527"/>
      <c r="M93" s="528">
        <f>375300+500+3200+120000</f>
        <v>499000</v>
      </c>
      <c r="N93" s="465">
        <f>E93-M93</f>
        <v>101000</v>
      </c>
      <c r="O93" s="529">
        <f t="shared" si="18"/>
        <v>83.166666666666671</v>
      </c>
      <c r="P93" s="527">
        <v>0</v>
      </c>
      <c r="Q93" s="415" t="s">
        <v>110</v>
      </c>
      <c r="R93" s="343"/>
      <c r="S93" s="313" t="e">
        <f>#REF!</f>
        <v>#REF!</v>
      </c>
      <c r="U93" s="314"/>
    </row>
    <row r="94" spans="1:21" s="365" customFormat="1" x14ac:dyDescent="0.3">
      <c r="A94" s="530"/>
      <c r="B94" s="847" t="s">
        <v>24</v>
      </c>
      <c r="C94" s="848"/>
      <c r="D94" s="531">
        <f>SUM(D95:D110)</f>
        <v>9600000</v>
      </c>
      <c r="E94" s="531">
        <f>SUM(E95:E110)</f>
        <v>9600000</v>
      </c>
      <c r="F94" s="531">
        <f t="shared" ref="F94:M94" si="23">SUM(F95:F110)</f>
        <v>0</v>
      </c>
      <c r="G94" s="623"/>
      <c r="H94" s="531"/>
      <c r="I94" s="600"/>
      <c r="J94" s="532">
        <f t="shared" si="23"/>
        <v>0</v>
      </c>
      <c r="K94" s="532">
        <f t="shared" si="23"/>
        <v>0</v>
      </c>
      <c r="L94" s="532"/>
      <c r="M94" s="531">
        <f t="shared" si="23"/>
        <v>5031230</v>
      </c>
      <c r="N94" s="532">
        <f>SUM(N95:N110)</f>
        <v>4568770</v>
      </c>
      <c r="O94" s="533">
        <f t="shared" si="18"/>
        <v>52.408645833333331</v>
      </c>
      <c r="P94" s="532">
        <f>SUM(P95:P110)</f>
        <v>0</v>
      </c>
      <c r="Q94" s="534"/>
      <c r="R94" s="364"/>
      <c r="S94" s="313" t="e">
        <f t="shared" si="21"/>
        <v>#REF!</v>
      </c>
      <c r="U94" s="314"/>
    </row>
    <row r="95" spans="1:21" s="344" customFormat="1" ht="75" x14ac:dyDescent="0.3">
      <c r="A95" s="331">
        <v>65</v>
      </c>
      <c r="B95" s="822" t="s">
        <v>23</v>
      </c>
      <c r="C95" s="823"/>
      <c r="D95" s="429">
        <f>E95+F95</f>
        <v>500000</v>
      </c>
      <c r="E95" s="400">
        <v>500000</v>
      </c>
      <c r="F95" s="400">
        <v>0</v>
      </c>
      <c r="G95" s="400">
        <v>500000</v>
      </c>
      <c r="H95" s="333" t="s">
        <v>335</v>
      </c>
      <c r="I95" s="601"/>
      <c r="J95" s="536"/>
      <c r="K95" s="536"/>
      <c r="L95" s="536"/>
      <c r="M95" s="537">
        <f>120000+130000</f>
        <v>250000</v>
      </c>
      <c r="N95" s="430">
        <f t="shared" ref="N95:N110" si="24">E95-M95</f>
        <v>250000</v>
      </c>
      <c r="O95" s="538">
        <f t="shared" si="18"/>
        <v>50</v>
      </c>
      <c r="P95" s="536">
        <v>0</v>
      </c>
      <c r="Q95" s="539" t="s">
        <v>111</v>
      </c>
      <c r="R95" s="343"/>
      <c r="S95" s="313" t="e">
        <f>#REF!</f>
        <v>#REF!</v>
      </c>
      <c r="U95" s="314"/>
    </row>
    <row r="96" spans="1:21" s="344" customFormat="1" x14ac:dyDescent="0.3">
      <c r="A96" s="331">
        <v>66</v>
      </c>
      <c r="B96" s="822" t="s">
        <v>22</v>
      </c>
      <c r="C96" s="823"/>
      <c r="D96" s="429">
        <f t="shared" ref="D96:D110" si="25">E96+F96</f>
        <v>400000</v>
      </c>
      <c r="E96" s="400">
        <v>400000</v>
      </c>
      <c r="F96" s="400">
        <v>0</v>
      </c>
      <c r="G96" s="400">
        <v>400000</v>
      </c>
      <c r="H96" s="333" t="s">
        <v>314</v>
      </c>
      <c r="I96" s="601"/>
      <c r="J96" s="536"/>
      <c r="K96" s="536"/>
      <c r="L96" s="536"/>
      <c r="M96" s="537">
        <f>2500+60000+25000+34500+18000+240000+20000</f>
        <v>400000</v>
      </c>
      <c r="N96" s="464">
        <f t="shared" si="24"/>
        <v>0</v>
      </c>
      <c r="O96" s="538">
        <f t="shared" si="18"/>
        <v>100</v>
      </c>
      <c r="P96" s="536">
        <v>0</v>
      </c>
      <c r="Q96" s="540" t="s">
        <v>13</v>
      </c>
      <c r="R96" s="343"/>
      <c r="S96" s="313" t="e">
        <f t="shared" si="21"/>
        <v>#REF!</v>
      </c>
      <c r="U96" s="314"/>
    </row>
    <row r="97" spans="1:21" s="344" customFormat="1" x14ac:dyDescent="0.3">
      <c r="A97" s="331">
        <v>67</v>
      </c>
      <c r="B97" s="822" t="s">
        <v>21</v>
      </c>
      <c r="C97" s="823"/>
      <c r="D97" s="429">
        <f t="shared" si="25"/>
        <v>500000</v>
      </c>
      <c r="E97" s="400">
        <v>500000</v>
      </c>
      <c r="F97" s="400">
        <v>0</v>
      </c>
      <c r="G97" s="400">
        <v>500000</v>
      </c>
      <c r="H97" s="333" t="s">
        <v>315</v>
      </c>
      <c r="I97" s="601"/>
      <c r="J97" s="536"/>
      <c r="K97" s="536"/>
      <c r="L97" s="536"/>
      <c r="M97" s="537">
        <f>122500+7890</f>
        <v>130390</v>
      </c>
      <c r="N97" s="464">
        <f t="shared" si="24"/>
        <v>369610</v>
      </c>
      <c r="O97" s="538">
        <f t="shared" si="18"/>
        <v>26.077999999999999</v>
      </c>
      <c r="P97" s="536">
        <v>0</v>
      </c>
      <c r="Q97" s="540" t="s">
        <v>112</v>
      </c>
      <c r="R97" s="343"/>
      <c r="S97" s="313" t="e">
        <f t="shared" si="21"/>
        <v>#REF!</v>
      </c>
      <c r="U97" s="314"/>
    </row>
    <row r="98" spans="1:21" s="344" customFormat="1" x14ac:dyDescent="0.3">
      <c r="A98" s="331">
        <v>68</v>
      </c>
      <c r="B98" s="822" t="s">
        <v>20</v>
      </c>
      <c r="C98" s="823"/>
      <c r="D98" s="429">
        <f t="shared" si="25"/>
        <v>500000</v>
      </c>
      <c r="E98" s="400">
        <v>500000</v>
      </c>
      <c r="F98" s="400">
        <v>0</v>
      </c>
      <c r="G98" s="400">
        <v>500000</v>
      </c>
      <c r="H98" s="333" t="s">
        <v>316</v>
      </c>
      <c r="I98" s="601"/>
      <c r="J98" s="536"/>
      <c r="K98" s="536"/>
      <c r="L98" s="536"/>
      <c r="M98" s="537">
        <f>500000</f>
        <v>500000</v>
      </c>
      <c r="N98" s="464">
        <f t="shared" si="24"/>
        <v>0</v>
      </c>
      <c r="O98" s="538">
        <f t="shared" si="18"/>
        <v>100</v>
      </c>
      <c r="P98" s="536">
        <v>0</v>
      </c>
      <c r="Q98" s="539" t="s">
        <v>2</v>
      </c>
      <c r="R98" s="343"/>
      <c r="S98" s="313" t="e">
        <f t="shared" si="21"/>
        <v>#REF!</v>
      </c>
      <c r="U98" s="314"/>
    </row>
    <row r="99" spans="1:21" s="344" customFormat="1" x14ac:dyDescent="0.3">
      <c r="A99" s="331">
        <v>69</v>
      </c>
      <c r="B99" s="822" t="s">
        <v>19</v>
      </c>
      <c r="C99" s="823"/>
      <c r="D99" s="429">
        <f t="shared" si="25"/>
        <v>500000</v>
      </c>
      <c r="E99" s="400">
        <v>500000</v>
      </c>
      <c r="F99" s="400">
        <v>0</v>
      </c>
      <c r="G99" s="400">
        <v>500000</v>
      </c>
      <c r="H99" s="333" t="s">
        <v>317</v>
      </c>
      <c r="I99" s="601"/>
      <c r="J99" s="536"/>
      <c r="K99" s="536"/>
      <c r="L99" s="536"/>
      <c r="M99" s="537">
        <f>90000+155000+100000</f>
        <v>345000</v>
      </c>
      <c r="N99" s="464">
        <f t="shared" si="24"/>
        <v>155000</v>
      </c>
      <c r="O99" s="538">
        <f t="shared" si="18"/>
        <v>69</v>
      </c>
      <c r="P99" s="536">
        <v>0</v>
      </c>
      <c r="Q99" s="540" t="s">
        <v>2</v>
      </c>
      <c r="R99" s="343"/>
      <c r="S99" s="313" t="e">
        <f t="shared" si="21"/>
        <v>#REF!</v>
      </c>
      <c r="U99" s="314"/>
    </row>
    <row r="100" spans="1:21" s="344" customFormat="1" x14ac:dyDescent="0.3">
      <c r="A100" s="331">
        <v>70</v>
      </c>
      <c r="B100" s="822" t="s">
        <v>18</v>
      </c>
      <c r="C100" s="823"/>
      <c r="D100" s="429">
        <f t="shared" si="25"/>
        <v>500000</v>
      </c>
      <c r="E100" s="400">
        <v>500000</v>
      </c>
      <c r="F100" s="400">
        <v>0</v>
      </c>
      <c r="G100" s="400">
        <v>500000</v>
      </c>
      <c r="H100" s="333" t="s">
        <v>318</v>
      </c>
      <c r="I100" s="601"/>
      <c r="J100" s="536"/>
      <c r="K100" s="536"/>
      <c r="L100" s="536"/>
      <c r="M100" s="537">
        <v>500000</v>
      </c>
      <c r="N100" s="464">
        <f t="shared" si="24"/>
        <v>0</v>
      </c>
      <c r="O100" s="538">
        <f t="shared" si="18"/>
        <v>100</v>
      </c>
      <c r="P100" s="536">
        <v>0</v>
      </c>
      <c r="Q100" s="540" t="s">
        <v>113</v>
      </c>
      <c r="R100" s="343"/>
      <c r="S100" s="313" t="e">
        <f t="shared" si="21"/>
        <v>#REF!</v>
      </c>
      <c r="U100" s="314"/>
    </row>
    <row r="101" spans="1:21" s="321" customFormat="1" ht="37.5" x14ac:dyDescent="0.3">
      <c r="A101" s="331">
        <v>71</v>
      </c>
      <c r="B101" s="838" t="s">
        <v>17</v>
      </c>
      <c r="C101" s="839"/>
      <c r="D101" s="429">
        <f t="shared" si="25"/>
        <v>1400000</v>
      </c>
      <c r="E101" s="400">
        <v>1400000</v>
      </c>
      <c r="F101" s="400">
        <v>0</v>
      </c>
      <c r="G101" s="400">
        <v>1400000</v>
      </c>
      <c r="H101" s="333" t="s">
        <v>319</v>
      </c>
      <c r="I101" s="601"/>
      <c r="J101" s="536"/>
      <c r="K101" s="536"/>
      <c r="L101" s="536"/>
      <c r="M101" s="537">
        <f>7440+5750-(1500)+3360+35000+5880+28000+35000+25000+35000+8000+124000+35000+9000+25000+121370+60000+35000+15000+20000+35000+5840+237200+6000+6000+20000+100000+15000+35000+199000+35000</f>
        <v>1325340</v>
      </c>
      <c r="N101" s="635">
        <f>E101-M101</f>
        <v>74660</v>
      </c>
      <c r="O101" s="538">
        <f t="shared" si="18"/>
        <v>94.667142857142863</v>
      </c>
      <c r="P101" s="536">
        <v>0</v>
      </c>
      <c r="Q101" s="540" t="s">
        <v>114</v>
      </c>
      <c r="R101" s="320"/>
      <c r="S101" s="313" t="e">
        <f t="shared" si="21"/>
        <v>#REF!</v>
      </c>
      <c r="U101" s="314"/>
    </row>
    <row r="102" spans="1:21" s="344" customFormat="1" x14ac:dyDescent="0.3">
      <c r="A102" s="331">
        <v>72</v>
      </c>
      <c r="B102" s="822" t="s">
        <v>16</v>
      </c>
      <c r="C102" s="823"/>
      <c r="D102" s="429">
        <f t="shared" si="25"/>
        <v>500000</v>
      </c>
      <c r="E102" s="400">
        <v>500000</v>
      </c>
      <c r="F102" s="400">
        <v>0</v>
      </c>
      <c r="G102" s="400">
        <v>500000</v>
      </c>
      <c r="H102" s="333" t="s">
        <v>320</v>
      </c>
      <c r="I102" s="601"/>
      <c r="J102" s="536"/>
      <c r="K102" s="536"/>
      <c r="L102" s="536"/>
      <c r="M102" s="537">
        <f>50000+100000+100000+150000+100000</f>
        <v>500000</v>
      </c>
      <c r="N102" s="464">
        <f t="shared" si="24"/>
        <v>0</v>
      </c>
      <c r="O102" s="538">
        <f t="shared" si="18"/>
        <v>100</v>
      </c>
      <c r="P102" s="536">
        <v>0</v>
      </c>
      <c r="Q102" s="539" t="s">
        <v>15</v>
      </c>
      <c r="R102" s="343"/>
      <c r="S102" s="313" t="e">
        <f t="shared" si="21"/>
        <v>#REF!</v>
      </c>
      <c r="U102" s="314"/>
    </row>
    <row r="103" spans="1:21" s="344" customFormat="1" x14ac:dyDescent="0.3">
      <c r="A103" s="331">
        <v>73</v>
      </c>
      <c r="B103" s="822" t="s">
        <v>278</v>
      </c>
      <c r="C103" s="823"/>
      <c r="D103" s="429">
        <f t="shared" si="25"/>
        <v>500000</v>
      </c>
      <c r="E103" s="400">
        <v>500000</v>
      </c>
      <c r="F103" s="400">
        <v>0</v>
      </c>
      <c r="G103" s="400">
        <v>500000</v>
      </c>
      <c r="H103" s="333" t="s">
        <v>321</v>
      </c>
      <c r="I103" s="601"/>
      <c r="J103" s="536"/>
      <c r="K103" s="536"/>
      <c r="L103" s="536"/>
      <c r="M103" s="537">
        <f>400000+19100+27000+53900</f>
        <v>500000</v>
      </c>
      <c r="N103" s="464">
        <f t="shared" si="24"/>
        <v>0</v>
      </c>
      <c r="O103" s="538">
        <f t="shared" si="18"/>
        <v>100</v>
      </c>
      <c r="P103" s="536">
        <v>0</v>
      </c>
      <c r="Q103" s="539" t="s">
        <v>13</v>
      </c>
      <c r="R103" s="343"/>
      <c r="S103" s="313" t="e">
        <f t="shared" si="21"/>
        <v>#REF!</v>
      </c>
      <c r="U103" s="314"/>
    </row>
    <row r="104" spans="1:21" s="344" customFormat="1" x14ac:dyDescent="0.3">
      <c r="A104" s="331">
        <v>74</v>
      </c>
      <c r="B104" s="822" t="s">
        <v>12</v>
      </c>
      <c r="C104" s="823"/>
      <c r="D104" s="429">
        <f t="shared" si="25"/>
        <v>1000000</v>
      </c>
      <c r="E104" s="400">
        <v>1000000</v>
      </c>
      <c r="F104" s="400">
        <v>0</v>
      </c>
      <c r="G104" s="400">
        <v>1000000</v>
      </c>
      <c r="H104" s="333" t="s">
        <v>322</v>
      </c>
      <c r="I104" s="601"/>
      <c r="J104" s="536"/>
      <c r="K104" s="536"/>
      <c r="L104" s="536"/>
      <c r="M104" s="537">
        <v>0</v>
      </c>
      <c r="N104" s="430">
        <f t="shared" si="24"/>
        <v>1000000</v>
      </c>
      <c r="O104" s="538">
        <f t="shared" si="18"/>
        <v>0</v>
      </c>
      <c r="P104" s="536">
        <v>0</v>
      </c>
      <c r="Q104" s="539" t="s">
        <v>6</v>
      </c>
      <c r="R104" s="343"/>
      <c r="S104" s="313" t="e">
        <f>#REF!</f>
        <v>#REF!</v>
      </c>
      <c r="U104" s="314"/>
    </row>
    <row r="105" spans="1:21" s="344" customFormat="1" x14ac:dyDescent="0.3">
      <c r="A105" s="331">
        <v>75</v>
      </c>
      <c r="B105" s="822" t="s">
        <v>11</v>
      </c>
      <c r="C105" s="823"/>
      <c r="D105" s="429">
        <f t="shared" si="25"/>
        <v>500000</v>
      </c>
      <c r="E105" s="400">
        <v>500000</v>
      </c>
      <c r="F105" s="400">
        <v>0</v>
      </c>
      <c r="G105" s="400">
        <v>500000</v>
      </c>
      <c r="H105" s="333" t="s">
        <v>323</v>
      </c>
      <c r="I105" s="601"/>
      <c r="J105" s="536"/>
      <c r="K105" s="536"/>
      <c r="L105" s="536"/>
      <c r="M105" s="537">
        <f>84600+415400</f>
        <v>500000</v>
      </c>
      <c r="N105" s="464">
        <f t="shared" si="24"/>
        <v>0</v>
      </c>
      <c r="O105" s="538">
        <f t="shared" si="18"/>
        <v>100</v>
      </c>
      <c r="P105" s="536">
        <v>0</v>
      </c>
      <c r="Q105" s="540" t="s">
        <v>10</v>
      </c>
      <c r="R105" s="343"/>
      <c r="S105" s="313" t="e">
        <f t="shared" si="21"/>
        <v>#REF!</v>
      </c>
      <c r="U105" s="314"/>
    </row>
    <row r="106" spans="1:21" s="344" customFormat="1" ht="56.25" x14ac:dyDescent="0.3">
      <c r="A106" s="331">
        <v>76</v>
      </c>
      <c r="B106" s="822" t="s">
        <v>9</v>
      </c>
      <c r="C106" s="823"/>
      <c r="D106" s="429">
        <f t="shared" si="25"/>
        <v>500000</v>
      </c>
      <c r="E106" s="400">
        <v>500000</v>
      </c>
      <c r="F106" s="400">
        <v>0</v>
      </c>
      <c r="G106" s="400">
        <v>500000</v>
      </c>
      <c r="H106" s="333" t="s">
        <v>324</v>
      </c>
      <c r="I106" s="601"/>
      <c r="J106" s="536"/>
      <c r="K106" s="536"/>
      <c r="L106" s="536"/>
      <c r="M106" s="537">
        <f>50000+30500</f>
        <v>80500</v>
      </c>
      <c r="N106" s="464">
        <f t="shared" si="24"/>
        <v>419500</v>
      </c>
      <c r="O106" s="538">
        <f t="shared" si="18"/>
        <v>16.100000000000001</v>
      </c>
      <c r="P106" s="536">
        <v>0</v>
      </c>
      <c r="Q106" s="539" t="s">
        <v>8</v>
      </c>
      <c r="R106" s="343"/>
      <c r="S106" s="313" t="e">
        <f t="shared" si="21"/>
        <v>#REF!</v>
      </c>
      <c r="U106" s="314"/>
    </row>
    <row r="107" spans="1:21" s="344" customFormat="1" x14ac:dyDescent="0.3">
      <c r="A107" s="331">
        <v>77</v>
      </c>
      <c r="B107" s="822" t="s">
        <v>7</v>
      </c>
      <c r="C107" s="823"/>
      <c r="D107" s="429">
        <f t="shared" si="25"/>
        <v>500000</v>
      </c>
      <c r="E107" s="400">
        <v>500000</v>
      </c>
      <c r="F107" s="400">
        <v>0</v>
      </c>
      <c r="G107" s="400">
        <v>500000</v>
      </c>
      <c r="H107" s="333" t="s">
        <v>325</v>
      </c>
      <c r="I107" s="601"/>
      <c r="J107" s="536"/>
      <c r="K107" s="536"/>
      <c r="L107" s="536"/>
      <c r="M107" s="537">
        <v>0</v>
      </c>
      <c r="N107" s="464">
        <f t="shared" si="24"/>
        <v>500000</v>
      </c>
      <c r="O107" s="538">
        <f t="shared" si="18"/>
        <v>0</v>
      </c>
      <c r="P107" s="536">
        <v>0</v>
      </c>
      <c r="Q107" s="539" t="s">
        <v>6</v>
      </c>
      <c r="R107" s="343"/>
      <c r="S107" s="313" t="e">
        <f t="shared" si="21"/>
        <v>#REF!</v>
      </c>
      <c r="U107" s="314"/>
    </row>
    <row r="108" spans="1:21" s="344" customFormat="1" x14ac:dyDescent="0.3">
      <c r="A108" s="331">
        <v>78</v>
      </c>
      <c r="B108" s="822" t="s">
        <v>5</v>
      </c>
      <c r="C108" s="823"/>
      <c r="D108" s="429">
        <f t="shared" si="25"/>
        <v>300000</v>
      </c>
      <c r="E108" s="400">
        <v>300000</v>
      </c>
      <c r="F108" s="400">
        <v>0</v>
      </c>
      <c r="G108" s="400">
        <v>300000</v>
      </c>
      <c r="H108" s="333" t="s">
        <v>325</v>
      </c>
      <c r="I108" s="601"/>
      <c r="J108" s="536"/>
      <c r="K108" s="536"/>
      <c r="L108" s="536"/>
      <c r="M108" s="537">
        <v>0</v>
      </c>
      <c r="N108" s="464">
        <f t="shared" si="24"/>
        <v>300000</v>
      </c>
      <c r="O108" s="538">
        <f t="shared" si="18"/>
        <v>0</v>
      </c>
      <c r="P108" s="536">
        <v>0</v>
      </c>
      <c r="Q108" s="540" t="s">
        <v>115</v>
      </c>
      <c r="R108" s="343"/>
      <c r="S108" s="313" t="e">
        <f t="shared" si="21"/>
        <v>#REF!</v>
      </c>
      <c r="U108" s="314"/>
    </row>
    <row r="109" spans="1:21" s="344" customFormat="1" x14ac:dyDescent="0.3">
      <c r="A109" s="331">
        <v>79</v>
      </c>
      <c r="B109" s="822" t="s">
        <v>4</v>
      </c>
      <c r="C109" s="823"/>
      <c r="D109" s="429">
        <f t="shared" si="25"/>
        <v>500000</v>
      </c>
      <c r="E109" s="400">
        <v>500000</v>
      </c>
      <c r="F109" s="400">
        <v>0</v>
      </c>
      <c r="G109" s="400">
        <v>500000</v>
      </c>
      <c r="H109" s="333" t="s">
        <v>326</v>
      </c>
      <c r="I109" s="601"/>
      <c r="J109" s="536"/>
      <c r="K109" s="536"/>
      <c r="L109" s="536"/>
      <c r="M109" s="537">
        <v>0</v>
      </c>
      <c r="N109" s="464">
        <f t="shared" si="24"/>
        <v>500000</v>
      </c>
      <c r="O109" s="538">
        <f t="shared" si="18"/>
        <v>0</v>
      </c>
      <c r="P109" s="536">
        <v>0</v>
      </c>
      <c r="Q109" s="539" t="s">
        <v>112</v>
      </c>
      <c r="R109" s="343"/>
      <c r="S109" s="313" t="e">
        <f>#REF!</f>
        <v>#REF!</v>
      </c>
      <c r="U109" s="314"/>
    </row>
    <row r="110" spans="1:21" s="344" customFormat="1" x14ac:dyDescent="0.3">
      <c r="A110" s="331">
        <v>80</v>
      </c>
      <c r="B110" s="822" t="s">
        <v>3</v>
      </c>
      <c r="C110" s="823"/>
      <c r="D110" s="429">
        <f t="shared" si="25"/>
        <v>1000000</v>
      </c>
      <c r="E110" s="400">
        <v>1000000</v>
      </c>
      <c r="F110" s="400">
        <v>0</v>
      </c>
      <c r="G110" s="400">
        <v>1000000</v>
      </c>
      <c r="H110" s="333" t="s">
        <v>327</v>
      </c>
      <c r="I110" s="601"/>
      <c r="J110" s="536"/>
      <c r="K110" s="536"/>
      <c r="L110" s="536"/>
      <c r="M110" s="537">
        <v>0</v>
      </c>
      <c r="N110" s="464">
        <f t="shared" si="24"/>
        <v>1000000</v>
      </c>
      <c r="O110" s="538">
        <f t="shared" si="18"/>
        <v>0</v>
      </c>
      <c r="P110" s="536">
        <v>0</v>
      </c>
      <c r="Q110" s="539" t="s">
        <v>2</v>
      </c>
      <c r="R110" s="343"/>
      <c r="S110" s="313" t="e">
        <f t="shared" si="21"/>
        <v>#REF!</v>
      </c>
      <c r="U110" s="314"/>
    </row>
    <row r="111" spans="1:21" s="365" customFormat="1" x14ac:dyDescent="0.3">
      <c r="A111" s="811" t="s">
        <v>179</v>
      </c>
      <c r="B111" s="812"/>
      <c r="C111" s="813"/>
      <c r="D111" s="541">
        <f>D112</f>
        <v>12784000</v>
      </c>
      <c r="E111" s="541">
        <f t="shared" ref="E111:P111" si="26">E112</f>
        <v>0</v>
      </c>
      <c r="F111" s="541">
        <f t="shared" si="26"/>
        <v>12784000</v>
      </c>
      <c r="G111" s="624"/>
      <c r="H111" s="541"/>
      <c r="I111" s="602"/>
      <c r="J111" s="542">
        <f t="shared" si="26"/>
        <v>12689000</v>
      </c>
      <c r="K111" s="542">
        <f t="shared" si="26"/>
        <v>95000</v>
      </c>
      <c r="L111" s="542"/>
      <c r="M111" s="541">
        <f t="shared" si="26"/>
        <v>0</v>
      </c>
      <c r="N111" s="542">
        <f t="shared" si="26"/>
        <v>12710000</v>
      </c>
      <c r="O111" s="543">
        <f>M111*100/F111</f>
        <v>0</v>
      </c>
      <c r="P111" s="542">
        <f t="shared" si="26"/>
        <v>21000</v>
      </c>
      <c r="Q111" s="544"/>
      <c r="R111" s="364"/>
      <c r="S111" s="327"/>
      <c r="U111" s="314"/>
    </row>
    <row r="112" spans="1:21" s="321" customFormat="1" x14ac:dyDescent="0.3">
      <c r="A112" s="814" t="s">
        <v>59</v>
      </c>
      <c r="B112" s="815"/>
      <c r="C112" s="816"/>
      <c r="D112" s="316">
        <f>D114</f>
        <v>12784000</v>
      </c>
      <c r="E112" s="316">
        <f t="shared" ref="E112:P112" si="27">E114</f>
        <v>0</v>
      </c>
      <c r="F112" s="316">
        <f t="shared" si="27"/>
        <v>12784000</v>
      </c>
      <c r="G112" s="625"/>
      <c r="H112" s="316"/>
      <c r="I112" s="566"/>
      <c r="J112" s="317">
        <f t="shared" si="27"/>
        <v>12689000</v>
      </c>
      <c r="K112" s="317">
        <f>K114</f>
        <v>95000</v>
      </c>
      <c r="L112" s="317"/>
      <c r="M112" s="316">
        <f t="shared" si="27"/>
        <v>0</v>
      </c>
      <c r="N112" s="317">
        <f t="shared" si="27"/>
        <v>12710000</v>
      </c>
      <c r="O112" s="545">
        <f>M112*100/F112</f>
        <v>0</v>
      </c>
      <c r="P112" s="317">
        <f t="shared" si="27"/>
        <v>21000</v>
      </c>
      <c r="Q112" s="319"/>
      <c r="R112" s="546"/>
      <c r="S112" s="546"/>
      <c r="U112" s="314"/>
    </row>
    <row r="113" spans="1:21" s="315" customFormat="1" x14ac:dyDescent="0.3">
      <c r="A113" s="817" t="s">
        <v>70</v>
      </c>
      <c r="B113" s="818"/>
      <c r="C113" s="819"/>
      <c r="D113" s="322">
        <f>E113+F113</f>
        <v>12784000</v>
      </c>
      <c r="E113" s="322"/>
      <c r="F113" s="322">
        <f>F114</f>
        <v>12784000</v>
      </c>
      <c r="G113" s="626"/>
      <c r="H113" s="322"/>
      <c r="I113" s="567"/>
      <c r="J113" s="323">
        <f t="shared" ref="J113:P113" si="28">J114</f>
        <v>12689000</v>
      </c>
      <c r="K113" s="547">
        <f>K115</f>
        <v>24000</v>
      </c>
      <c r="L113" s="547"/>
      <c r="M113" s="322">
        <f t="shared" si="28"/>
        <v>0</v>
      </c>
      <c r="N113" s="323">
        <f t="shared" si="28"/>
        <v>12710000</v>
      </c>
      <c r="O113" s="548">
        <f>M113*100/F113</f>
        <v>0</v>
      </c>
      <c r="P113" s="323">
        <f t="shared" si="28"/>
        <v>21000</v>
      </c>
      <c r="Q113" s="326"/>
      <c r="R113" s="549"/>
      <c r="S113" s="549"/>
      <c r="U113" s="314"/>
    </row>
    <row r="114" spans="1:21" s="365" customFormat="1" x14ac:dyDescent="0.3">
      <c r="A114" s="358"/>
      <c r="B114" s="820" t="s">
        <v>89</v>
      </c>
      <c r="C114" s="821"/>
      <c r="D114" s="383">
        <f>D115+D116+D117+D118</f>
        <v>12784000</v>
      </c>
      <c r="E114" s="383">
        <f>E115+E116+E117+E118</f>
        <v>0</v>
      </c>
      <c r="F114" s="383">
        <f>F115+F116+F117+F118</f>
        <v>12784000</v>
      </c>
      <c r="G114" s="609"/>
      <c r="H114" s="383"/>
      <c r="I114" s="576"/>
      <c r="J114" s="384">
        <f>J115+J116+J117+J118</f>
        <v>12689000</v>
      </c>
      <c r="K114" s="547">
        <f>K115+K116+K117+K118</f>
        <v>95000</v>
      </c>
      <c r="L114" s="631"/>
      <c r="M114" s="383">
        <f>M115+M116+M117+M118</f>
        <v>0</v>
      </c>
      <c r="N114" s="384">
        <f>N115+N116+N117+N118</f>
        <v>12710000</v>
      </c>
      <c r="O114" s="385">
        <f>M114*100/F114</f>
        <v>0</v>
      </c>
      <c r="P114" s="384">
        <f>P115+P116+P117+P118</f>
        <v>21000</v>
      </c>
      <c r="Q114" s="386"/>
      <c r="R114" s="364"/>
      <c r="S114" s="313">
        <f>S113</f>
        <v>0</v>
      </c>
      <c r="U114" s="314"/>
    </row>
    <row r="115" spans="1:21" s="344" customFormat="1" ht="37.5" x14ac:dyDescent="0.3">
      <c r="A115" s="411">
        <v>81</v>
      </c>
      <c r="B115" s="789" t="s">
        <v>381</v>
      </c>
      <c r="C115" s="790"/>
      <c r="D115" s="429">
        <v>1484000</v>
      </c>
      <c r="E115" s="429">
        <v>0</v>
      </c>
      <c r="F115" s="400">
        <f t="shared" ref="F115:G117" si="29">D115+E115</f>
        <v>1484000</v>
      </c>
      <c r="G115" s="400">
        <f t="shared" si="29"/>
        <v>1484000</v>
      </c>
      <c r="H115" s="535" t="s">
        <v>379</v>
      </c>
      <c r="I115" s="601" t="s">
        <v>312</v>
      </c>
      <c r="J115" s="536">
        <v>1460000</v>
      </c>
      <c r="K115" s="550">
        <f>F115-J115</f>
        <v>24000</v>
      </c>
      <c r="L115" s="632"/>
      <c r="M115" s="537">
        <v>0</v>
      </c>
      <c r="N115" s="430">
        <v>1460000</v>
      </c>
      <c r="O115" s="538">
        <f>M115/J115*100</f>
        <v>0</v>
      </c>
      <c r="P115" s="536">
        <v>0</v>
      </c>
      <c r="Q115" s="539" t="s">
        <v>93</v>
      </c>
      <c r="R115" s="343"/>
      <c r="S115" s="313"/>
      <c r="U115" s="314"/>
    </row>
    <row r="116" spans="1:21" s="344" customFormat="1" ht="37.5" x14ac:dyDescent="0.3">
      <c r="A116" s="411">
        <v>82</v>
      </c>
      <c r="B116" s="789" t="s">
        <v>382</v>
      </c>
      <c r="C116" s="790"/>
      <c r="D116" s="429">
        <v>5200000</v>
      </c>
      <c r="E116" s="429">
        <v>0</v>
      </c>
      <c r="F116" s="400">
        <f t="shared" si="29"/>
        <v>5200000</v>
      </c>
      <c r="G116" s="400">
        <f t="shared" si="29"/>
        <v>5200000</v>
      </c>
      <c r="H116" s="535" t="s">
        <v>380</v>
      </c>
      <c r="I116" s="601" t="s">
        <v>312</v>
      </c>
      <c r="J116" s="536">
        <v>5175000</v>
      </c>
      <c r="K116" s="551">
        <f>F116-J116</f>
        <v>25000</v>
      </c>
      <c r="L116" s="633"/>
      <c r="M116" s="537">
        <v>0</v>
      </c>
      <c r="N116" s="430">
        <f>J116</f>
        <v>5175000</v>
      </c>
      <c r="O116" s="538">
        <f>M116/J116*100</f>
        <v>0</v>
      </c>
      <c r="P116" s="536">
        <v>0</v>
      </c>
      <c r="Q116" s="539" t="s">
        <v>93</v>
      </c>
      <c r="R116" s="343"/>
      <c r="S116" s="313"/>
      <c r="U116" s="314"/>
    </row>
    <row r="117" spans="1:21" s="344" customFormat="1" ht="37.5" x14ac:dyDescent="0.3">
      <c r="A117" s="411">
        <v>83</v>
      </c>
      <c r="B117" s="789" t="s">
        <v>383</v>
      </c>
      <c r="C117" s="790"/>
      <c r="D117" s="429">
        <v>3300000</v>
      </c>
      <c r="E117" s="429">
        <v>0</v>
      </c>
      <c r="F117" s="400">
        <f t="shared" si="29"/>
        <v>3300000</v>
      </c>
      <c r="G117" s="400">
        <f t="shared" si="29"/>
        <v>3300000</v>
      </c>
      <c r="H117" s="535" t="s">
        <v>380</v>
      </c>
      <c r="I117" s="601" t="s">
        <v>312</v>
      </c>
      <c r="J117" s="536">
        <v>3275000</v>
      </c>
      <c r="K117" s="550">
        <f>F117-J117</f>
        <v>25000</v>
      </c>
      <c r="L117" s="632"/>
      <c r="M117" s="537">
        <v>0</v>
      </c>
      <c r="N117" s="430">
        <f>J117</f>
        <v>3275000</v>
      </c>
      <c r="O117" s="538">
        <f>M117/J117*100</f>
        <v>0</v>
      </c>
      <c r="P117" s="536">
        <v>0</v>
      </c>
      <c r="Q117" s="539" t="s">
        <v>93</v>
      </c>
      <c r="R117" s="343"/>
      <c r="S117" s="313"/>
      <c r="U117" s="314"/>
    </row>
    <row r="118" spans="1:21" s="344" customFormat="1" ht="46.5" customHeight="1" x14ac:dyDescent="0.3">
      <c r="A118" s="411">
        <v>84</v>
      </c>
      <c r="B118" s="789" t="s">
        <v>293</v>
      </c>
      <c r="C118" s="790"/>
      <c r="D118" s="429">
        <v>2800000</v>
      </c>
      <c r="E118" s="552">
        <v>0</v>
      </c>
      <c r="F118" s="400">
        <v>2800000</v>
      </c>
      <c r="G118" s="400">
        <v>2800000</v>
      </c>
      <c r="H118" s="535" t="s">
        <v>388</v>
      </c>
      <c r="I118" s="601" t="s">
        <v>312</v>
      </c>
      <c r="J118" s="536">
        <v>2779000</v>
      </c>
      <c r="K118" s="550">
        <f>F118-J118</f>
        <v>21000</v>
      </c>
      <c r="L118" s="632"/>
      <c r="M118" s="537">
        <v>0</v>
      </c>
      <c r="N118" s="430">
        <v>2800000</v>
      </c>
      <c r="O118" s="538">
        <f>M118/J118*100</f>
        <v>0</v>
      </c>
      <c r="P118" s="660">
        <v>21000</v>
      </c>
      <c r="Q118" s="539" t="s">
        <v>93</v>
      </c>
      <c r="R118" s="343"/>
      <c r="S118" s="313"/>
      <c r="U118" s="314"/>
    </row>
    <row r="119" spans="1:21" s="365" customFormat="1" x14ac:dyDescent="0.3">
      <c r="A119" s="811" t="s">
        <v>309</v>
      </c>
      <c r="B119" s="812"/>
      <c r="C119" s="813"/>
      <c r="D119" s="541">
        <f>D120</f>
        <v>7700000</v>
      </c>
      <c r="E119" s="541">
        <f t="shared" ref="E119:P119" si="30">E120</f>
        <v>0</v>
      </c>
      <c r="F119" s="541">
        <f t="shared" si="30"/>
        <v>7700000</v>
      </c>
      <c r="G119" s="624"/>
      <c r="H119" s="541"/>
      <c r="I119" s="602"/>
      <c r="J119" s="542">
        <f t="shared" si="30"/>
        <v>4690000</v>
      </c>
      <c r="K119" s="542">
        <f t="shared" si="30"/>
        <v>3010000</v>
      </c>
      <c r="L119" s="542"/>
      <c r="M119" s="541">
        <f t="shared" si="30"/>
        <v>0</v>
      </c>
      <c r="N119" s="542">
        <f t="shared" si="30"/>
        <v>4690000</v>
      </c>
      <c r="O119" s="543">
        <f>M119*100/F119</f>
        <v>0</v>
      </c>
      <c r="P119" s="542">
        <f t="shared" si="30"/>
        <v>10000</v>
      </c>
      <c r="Q119" s="544"/>
      <c r="R119" s="364"/>
      <c r="S119" s="327"/>
      <c r="U119" s="314"/>
    </row>
    <row r="120" spans="1:21" s="321" customFormat="1" x14ac:dyDescent="0.3">
      <c r="A120" s="814" t="s">
        <v>59</v>
      </c>
      <c r="B120" s="815"/>
      <c r="C120" s="816"/>
      <c r="D120" s="316">
        <f>D121+D123</f>
        <v>7700000</v>
      </c>
      <c r="E120" s="316">
        <f t="shared" ref="E120:M120" si="31">E121+E123</f>
        <v>0</v>
      </c>
      <c r="F120" s="316">
        <f>F121+F123</f>
        <v>7700000</v>
      </c>
      <c r="G120" s="625">
        <f t="shared" si="31"/>
        <v>3000000</v>
      </c>
      <c r="H120" s="316">
        <f t="shared" si="31"/>
        <v>0</v>
      </c>
      <c r="I120" s="566">
        <f t="shared" si="31"/>
        <v>0</v>
      </c>
      <c r="J120" s="317">
        <f t="shared" si="31"/>
        <v>4690000</v>
      </c>
      <c r="K120" s="317">
        <f>K121+K123</f>
        <v>3010000</v>
      </c>
      <c r="L120" s="317">
        <f t="shared" si="31"/>
        <v>0</v>
      </c>
      <c r="M120" s="316">
        <f t="shared" si="31"/>
        <v>0</v>
      </c>
      <c r="N120" s="317">
        <f>N121+N123</f>
        <v>4690000</v>
      </c>
      <c r="O120" s="545">
        <f>M120/F120*100</f>
        <v>0</v>
      </c>
      <c r="P120" s="637">
        <f>P121+P123</f>
        <v>10000</v>
      </c>
      <c r="Q120" s="319"/>
      <c r="R120" s="546"/>
      <c r="S120" s="546"/>
      <c r="U120" s="314"/>
    </row>
    <row r="121" spans="1:21" s="321" customFormat="1" x14ac:dyDescent="0.3">
      <c r="A121" s="644"/>
      <c r="B121" s="644" t="s">
        <v>89</v>
      </c>
      <c r="C121" s="650"/>
      <c r="D121" s="645">
        <f>D122</f>
        <v>4700000</v>
      </c>
      <c r="E121" s="645">
        <f t="shared" ref="E121:O121" si="32">E122</f>
        <v>0</v>
      </c>
      <c r="F121" s="645">
        <f t="shared" si="32"/>
        <v>4700000</v>
      </c>
      <c r="G121" s="646"/>
      <c r="H121" s="645"/>
      <c r="I121" s="651"/>
      <c r="J121" s="647">
        <f t="shared" si="32"/>
        <v>4690000</v>
      </c>
      <c r="K121" s="647">
        <f t="shared" si="32"/>
        <v>10000</v>
      </c>
      <c r="L121" s="647">
        <f t="shared" si="32"/>
        <v>0</v>
      </c>
      <c r="M121" s="645">
        <f t="shared" si="32"/>
        <v>0</v>
      </c>
      <c r="N121" s="647">
        <f t="shared" si="32"/>
        <v>4690000</v>
      </c>
      <c r="O121" s="652">
        <f t="shared" si="32"/>
        <v>0</v>
      </c>
      <c r="P121" s="653">
        <f>P122</f>
        <v>10000</v>
      </c>
      <c r="Q121" s="654"/>
      <c r="R121" s="546"/>
      <c r="S121" s="546"/>
      <c r="U121" s="314"/>
    </row>
    <row r="122" spans="1:21" s="344" customFormat="1" ht="37.5" x14ac:dyDescent="0.3">
      <c r="A122" s="411">
        <v>85</v>
      </c>
      <c r="B122" s="789" t="s">
        <v>294</v>
      </c>
      <c r="C122" s="790"/>
      <c r="D122" s="429">
        <v>4700000</v>
      </c>
      <c r="E122" s="552">
        <v>0</v>
      </c>
      <c r="F122" s="429">
        <v>4700000</v>
      </c>
      <c r="G122" s="429">
        <v>4700000</v>
      </c>
      <c r="H122" s="535" t="s">
        <v>388</v>
      </c>
      <c r="I122" s="601" t="s">
        <v>312</v>
      </c>
      <c r="J122" s="536">
        <v>4690000</v>
      </c>
      <c r="K122" s="430">
        <f>F122-J122</f>
        <v>10000</v>
      </c>
      <c r="L122" s="634"/>
      <c r="M122" s="537">
        <v>0</v>
      </c>
      <c r="N122" s="430">
        <f>J122</f>
        <v>4690000</v>
      </c>
      <c r="O122" s="538">
        <f>M122/F122*100</f>
        <v>0</v>
      </c>
      <c r="P122" s="660">
        <v>10000</v>
      </c>
      <c r="Q122" s="539" t="s">
        <v>93</v>
      </c>
      <c r="R122" s="343"/>
      <c r="S122" s="313"/>
      <c r="U122" s="314"/>
    </row>
    <row r="123" spans="1:21" s="321" customFormat="1" x14ac:dyDescent="0.3">
      <c r="A123" s="644"/>
      <c r="B123" s="791" t="s">
        <v>53</v>
      </c>
      <c r="C123" s="792"/>
      <c r="D123" s="645">
        <f>D124</f>
        <v>3000000</v>
      </c>
      <c r="E123" s="645">
        <f t="shared" ref="E123:O123" si="33">E124</f>
        <v>0</v>
      </c>
      <c r="F123" s="645">
        <f t="shared" si="33"/>
        <v>3000000</v>
      </c>
      <c r="G123" s="645">
        <f t="shared" si="33"/>
        <v>3000000</v>
      </c>
      <c r="H123" s="645"/>
      <c r="I123" s="645"/>
      <c r="J123" s="645">
        <f t="shared" si="33"/>
        <v>0</v>
      </c>
      <c r="K123" s="645">
        <f t="shared" si="33"/>
        <v>3000000</v>
      </c>
      <c r="L123" s="645">
        <f t="shared" si="33"/>
        <v>0</v>
      </c>
      <c r="M123" s="645">
        <f t="shared" si="33"/>
        <v>0</v>
      </c>
      <c r="N123" s="645">
        <f t="shared" si="33"/>
        <v>0</v>
      </c>
      <c r="O123" s="645">
        <f t="shared" si="33"/>
        <v>0</v>
      </c>
      <c r="P123" s="648"/>
      <c r="Q123" s="649"/>
      <c r="R123" s="643"/>
      <c r="S123" s="643"/>
      <c r="U123" s="314"/>
    </row>
    <row r="124" spans="1:21" s="344" customFormat="1" ht="42" customHeight="1" x14ac:dyDescent="0.3">
      <c r="A124" s="411">
        <v>86</v>
      </c>
      <c r="B124" s="789" t="s">
        <v>389</v>
      </c>
      <c r="C124" s="790"/>
      <c r="D124" s="429">
        <v>3000000</v>
      </c>
      <c r="E124" s="552">
        <v>0</v>
      </c>
      <c r="F124" s="429">
        <v>3000000</v>
      </c>
      <c r="G124" s="429">
        <v>3000000</v>
      </c>
      <c r="H124" s="535" t="s">
        <v>400</v>
      </c>
      <c r="I124" s="601"/>
      <c r="J124" s="536"/>
      <c r="K124" s="430">
        <f>F124-J124</f>
        <v>3000000</v>
      </c>
      <c r="L124" s="634"/>
      <c r="M124" s="537">
        <v>0</v>
      </c>
      <c r="N124" s="430">
        <f>J124</f>
        <v>0</v>
      </c>
      <c r="O124" s="538">
        <f>M124/F124*100</f>
        <v>0</v>
      </c>
      <c r="P124" s="536">
        <v>0</v>
      </c>
      <c r="Q124" s="539" t="s">
        <v>8</v>
      </c>
      <c r="R124" s="343"/>
      <c r="S124" s="313"/>
      <c r="U124" s="314"/>
    </row>
    <row r="125" spans="1:21" s="344" customFormat="1" x14ac:dyDescent="0.3">
      <c r="A125" s="824" t="s">
        <v>1</v>
      </c>
      <c r="B125" s="825"/>
      <c r="C125" s="826"/>
      <c r="D125" s="553">
        <v>8000000</v>
      </c>
      <c r="E125" s="553">
        <f>D125</f>
        <v>8000000</v>
      </c>
      <c r="F125" s="553">
        <v>0</v>
      </c>
      <c r="G125" s="553">
        <v>8000000</v>
      </c>
      <c r="H125" s="553"/>
      <c r="I125" s="603"/>
      <c r="J125" s="554"/>
      <c r="K125" s="554"/>
      <c r="L125" s="554"/>
      <c r="M125" s="555">
        <f>'งบ 8 ล้าน'!C61</f>
        <v>1232442.57</v>
      </c>
      <c r="N125" s="556">
        <f>E125-M125</f>
        <v>6767557.4299999997</v>
      </c>
      <c r="O125" s="557">
        <f>M125*100/E125</f>
        <v>15.405532125000001</v>
      </c>
      <c r="P125" s="554"/>
      <c r="Q125" s="558"/>
      <c r="R125" s="343"/>
      <c r="S125" s="313"/>
      <c r="U125" s="314"/>
    </row>
    <row r="126" spans="1:21" x14ac:dyDescent="0.3">
      <c r="A126" s="827" t="s">
        <v>117</v>
      </c>
      <c r="B126" s="828"/>
      <c r="C126" s="829"/>
      <c r="D126" s="307">
        <f>D7+D49+D90+D125</f>
        <v>195006100</v>
      </c>
      <c r="E126" s="307">
        <f>E7+E49+E90+E125</f>
        <v>34732700</v>
      </c>
      <c r="F126" s="307">
        <f>F7+F49+F90+F125</f>
        <v>160273400</v>
      </c>
      <c r="G126" s="604">
        <f>SUM(G10:G125)</f>
        <v>197016900</v>
      </c>
      <c r="H126" s="307">
        <f>H7+H49+H90+H125</f>
        <v>0</v>
      </c>
      <c r="I126" s="565">
        <f>I7+I49+I90+I125</f>
        <v>0</v>
      </c>
      <c r="J126" s="311">
        <f>J7+J49+J90+J125</f>
        <v>146946873.53999999</v>
      </c>
      <c r="K126" s="311">
        <f>K7+K49+K90+K125</f>
        <v>10446626.460000001</v>
      </c>
      <c r="L126" s="311">
        <f>SUM(L6:L125)</f>
        <v>1121200</v>
      </c>
      <c r="M126" s="309">
        <f>M7+M49+M90+M125</f>
        <v>57590205.960000001</v>
      </c>
      <c r="N126" s="311">
        <f>N7+N49+N90+N125</f>
        <v>127518312.88</v>
      </c>
      <c r="O126" s="310">
        <f>M126*100/D126</f>
        <v>29.5325151161938</v>
      </c>
      <c r="P126" s="311">
        <f>P7+P49+P90+P111+P119</f>
        <v>4279039.6999999993</v>
      </c>
      <c r="Q126" s="312"/>
      <c r="U126" s="314"/>
    </row>
    <row r="131" spans="11:12" x14ac:dyDescent="0.3">
      <c r="K131" s="562"/>
      <c r="L131" s="562"/>
    </row>
  </sheetData>
  <mergeCells count="144">
    <mergeCell ref="Q43:Q44"/>
    <mergeCell ref="A119:C119"/>
    <mergeCell ref="A120:C120"/>
    <mergeCell ref="B118:C118"/>
    <mergeCell ref="B122:C122"/>
    <mergeCell ref="H43:H44"/>
    <mergeCell ref="I43:I44"/>
    <mergeCell ref="J43:J44"/>
    <mergeCell ref="K43:K44"/>
    <mergeCell ref="B74:C74"/>
    <mergeCell ref="B75:C75"/>
    <mergeCell ref="B76:C76"/>
    <mergeCell ref="B77:C77"/>
    <mergeCell ref="B78:C78"/>
    <mergeCell ref="B79:C79"/>
    <mergeCell ref="B66:C66"/>
    <mergeCell ref="B67:C67"/>
    <mergeCell ref="B68:C68"/>
    <mergeCell ref="B69:C69"/>
    <mergeCell ref="B72:C72"/>
    <mergeCell ref="B73:C73"/>
    <mergeCell ref="B96:C96"/>
    <mergeCell ref="B86:C86"/>
    <mergeCell ref="B58:C58"/>
    <mergeCell ref="B59:C59"/>
    <mergeCell ref="B62:C62"/>
    <mergeCell ref="B63:C63"/>
    <mergeCell ref="B64:C64"/>
    <mergeCell ref="B65:C65"/>
    <mergeCell ref="B47:C47"/>
    <mergeCell ref="B48:C48"/>
    <mergeCell ref="B53:C53"/>
    <mergeCell ref="B56:C56"/>
    <mergeCell ref="B57:C57"/>
    <mergeCell ref="A49:C49"/>
    <mergeCell ref="A50:C50"/>
    <mergeCell ref="B51:C51"/>
    <mergeCell ref="B52:C52"/>
    <mergeCell ref="P43:P44"/>
    <mergeCell ref="A1:Q1"/>
    <mergeCell ref="B18:C18"/>
    <mergeCell ref="B19:C19"/>
    <mergeCell ref="B20:C20"/>
    <mergeCell ref="B21:C21"/>
    <mergeCell ref="B22:C22"/>
    <mergeCell ref="B23:C23"/>
    <mergeCell ref="A3:C5"/>
    <mergeCell ref="B10:C10"/>
    <mergeCell ref="B11:C11"/>
    <mergeCell ref="B12:C12"/>
    <mergeCell ref="B13:C13"/>
    <mergeCell ref="B14:C14"/>
    <mergeCell ref="A6:C6"/>
    <mergeCell ref="A7:C7"/>
    <mergeCell ref="B9:C9"/>
    <mergeCell ref="B15:C15"/>
    <mergeCell ref="B16:C16"/>
    <mergeCell ref="B17:C17"/>
    <mergeCell ref="P3:P5"/>
    <mergeCell ref="M4:M5"/>
    <mergeCell ref="M43:M44"/>
    <mergeCell ref="N43:N44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42:C42"/>
    <mergeCell ref="B43:C43"/>
    <mergeCell ref="B45:C45"/>
    <mergeCell ref="B46:C46"/>
    <mergeCell ref="B44:C44"/>
    <mergeCell ref="B34:C34"/>
    <mergeCell ref="B35:C35"/>
    <mergeCell ref="B36:C36"/>
    <mergeCell ref="B37:C37"/>
    <mergeCell ref="B40:C40"/>
    <mergeCell ref="B41:C41"/>
    <mergeCell ref="B93:C93"/>
    <mergeCell ref="B94:C94"/>
    <mergeCell ref="B95:C95"/>
    <mergeCell ref="B88:C88"/>
    <mergeCell ref="B89:C89"/>
    <mergeCell ref="A90:C90"/>
    <mergeCell ref="B80:C80"/>
    <mergeCell ref="B81:C81"/>
    <mergeCell ref="B82:C82"/>
    <mergeCell ref="B83:C83"/>
    <mergeCell ref="B84:C84"/>
    <mergeCell ref="B85:C85"/>
    <mergeCell ref="B87:C87"/>
    <mergeCell ref="B114:C114"/>
    <mergeCell ref="B109:C109"/>
    <mergeCell ref="B110:C110"/>
    <mergeCell ref="A125:C125"/>
    <mergeCell ref="A126:C126"/>
    <mergeCell ref="A2:Q2"/>
    <mergeCell ref="B38:C38"/>
    <mergeCell ref="B39:C39"/>
    <mergeCell ref="Q3:Q5"/>
    <mergeCell ref="A8:C8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A91:C91"/>
    <mergeCell ref="B92:C92"/>
    <mergeCell ref="B124:C124"/>
    <mergeCell ref="B123:C123"/>
    <mergeCell ref="L3:O3"/>
    <mergeCell ref="L4:L5"/>
    <mergeCell ref="L43:L44"/>
    <mergeCell ref="D3:F3"/>
    <mergeCell ref="D4:D5"/>
    <mergeCell ref="E4:E5"/>
    <mergeCell ref="F4:F5"/>
    <mergeCell ref="H4:H5"/>
    <mergeCell ref="I4:I5"/>
    <mergeCell ref="K4:K5"/>
    <mergeCell ref="J4:J5"/>
    <mergeCell ref="N4:N5"/>
    <mergeCell ref="O4:O5"/>
    <mergeCell ref="G4:G5"/>
    <mergeCell ref="O43:O44"/>
    <mergeCell ref="G3:K3"/>
    <mergeCell ref="A111:C111"/>
    <mergeCell ref="B115:C115"/>
    <mergeCell ref="B116:C116"/>
    <mergeCell ref="B117:C117"/>
    <mergeCell ref="A112:C112"/>
    <mergeCell ref="A113:C113"/>
  </mergeCells>
  <pageMargins left="0.15748031496062992" right="7.874015748031496E-2" top="0.30677083333333333" bottom="0.19685039370078741" header="0.15748031496062992" footer="7.874015748031496E-2"/>
  <pageSetup paperSize="9" scale="59" orientation="landscape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6" manualBreakCount="6">
    <brk id="22" max="16" man="1"/>
    <brk id="34" max="16" man="1"/>
    <brk id="48" max="16" man="1"/>
    <brk id="69" max="16" man="1"/>
    <brk id="89" max="16" man="1"/>
    <brk id="115" max="16" man="1"/>
  </rowBreaks>
  <ignoredErrors>
    <ignoredError sqref="D15 D90 D88 D94 D45 D7 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="90" zoomScaleSheetLayoutView="90" workbookViewId="0">
      <selection activeCell="I6" sqref="I6"/>
    </sheetView>
  </sheetViews>
  <sheetFormatPr defaultRowHeight="21" x14ac:dyDescent="0.35"/>
  <cols>
    <col min="1" max="1" width="53.875" style="195" customWidth="1"/>
    <col min="2" max="4" width="15" style="215" customWidth="1"/>
    <col min="5" max="5" width="8.375" style="215" bestFit="1" customWidth="1"/>
    <col min="6" max="6" width="11.75" style="195" customWidth="1"/>
    <col min="7" max="7" width="10.125" style="195" customWidth="1"/>
    <col min="8" max="8" width="15.5" style="195" customWidth="1"/>
    <col min="9" max="16384" width="9" style="195"/>
  </cols>
  <sheetData>
    <row r="1" spans="1:7" ht="24" x14ac:dyDescent="0.55000000000000004">
      <c r="A1" s="214"/>
    </row>
    <row r="2" spans="1:7" x14ac:dyDescent="0.35">
      <c r="A2" s="909" t="s">
        <v>191</v>
      </c>
      <c r="B2" s="909"/>
      <c r="C2" s="909"/>
      <c r="D2" s="909"/>
      <c r="E2" s="909"/>
      <c r="F2" s="909"/>
    </row>
    <row r="3" spans="1:7" x14ac:dyDescent="0.35">
      <c r="A3" s="909" t="s">
        <v>192</v>
      </c>
      <c r="B3" s="909"/>
      <c r="C3" s="909"/>
      <c r="D3" s="909"/>
      <c r="E3" s="909"/>
      <c r="F3" s="909"/>
    </row>
    <row r="4" spans="1:7" x14ac:dyDescent="0.35">
      <c r="D4" s="910" t="s">
        <v>292</v>
      </c>
      <c r="E4" s="910"/>
      <c r="F4" s="910"/>
      <c r="G4" s="910"/>
    </row>
    <row r="5" spans="1:7" x14ac:dyDescent="0.35">
      <c r="A5" s="905" t="s">
        <v>232</v>
      </c>
      <c r="B5" s="906" t="s">
        <v>193</v>
      </c>
      <c r="C5" s="907"/>
      <c r="D5" s="907"/>
      <c r="E5" s="907"/>
      <c r="F5" s="908"/>
      <c r="G5" s="903" t="s">
        <v>243</v>
      </c>
    </row>
    <row r="6" spans="1:7" ht="42" x14ac:dyDescent="0.35">
      <c r="A6" s="905"/>
      <c r="B6" s="216" t="s">
        <v>240</v>
      </c>
      <c r="C6" s="216" t="s">
        <v>186</v>
      </c>
      <c r="D6" s="216" t="s">
        <v>187</v>
      </c>
      <c r="E6" s="216" t="s">
        <v>188</v>
      </c>
      <c r="F6" s="217" t="s">
        <v>244</v>
      </c>
      <c r="G6" s="904"/>
    </row>
    <row r="7" spans="1:7" ht="126" x14ac:dyDescent="0.35">
      <c r="A7" s="218" t="s">
        <v>241</v>
      </c>
      <c r="B7" s="219"/>
      <c r="C7" s="219"/>
      <c r="D7" s="219"/>
      <c r="E7" s="219"/>
      <c r="F7" s="220"/>
      <c r="G7" s="221"/>
    </row>
    <row r="8" spans="1:7" ht="40.5" customHeight="1" x14ac:dyDescent="0.35">
      <c r="A8" s="222" t="s">
        <v>242</v>
      </c>
      <c r="B8" s="223">
        <f>B9+B10+B11+B12</f>
        <v>210000</v>
      </c>
      <c r="C8" s="223">
        <f>C9+C10+C11+C12</f>
        <v>875</v>
      </c>
      <c r="D8" s="223">
        <f>D9+D10+D11+D12</f>
        <v>209125</v>
      </c>
      <c r="E8" s="223">
        <f>C8*100/B8</f>
        <v>0.41666666666666669</v>
      </c>
      <c r="F8" s="224"/>
      <c r="G8" s="225"/>
    </row>
    <row r="9" spans="1:7" ht="42" x14ac:dyDescent="0.35">
      <c r="A9" s="226" t="s">
        <v>194</v>
      </c>
      <c r="B9" s="227">
        <v>80000</v>
      </c>
      <c r="C9" s="227"/>
      <c r="D9" s="227">
        <f>B9-C9</f>
        <v>80000</v>
      </c>
      <c r="E9" s="227">
        <f>C9*100/B9</f>
        <v>0</v>
      </c>
      <c r="F9" s="228"/>
      <c r="G9" s="229"/>
    </row>
    <row r="10" spans="1:7" x14ac:dyDescent="0.35">
      <c r="A10" s="230" t="s">
        <v>195</v>
      </c>
      <c r="B10" s="231">
        <v>80000</v>
      </c>
      <c r="C10" s="231"/>
      <c r="D10" s="227">
        <f>B10-C10</f>
        <v>80000</v>
      </c>
      <c r="E10" s="227">
        <f>C10*100/B10</f>
        <v>0</v>
      </c>
      <c r="F10" s="232"/>
      <c r="G10" s="233"/>
    </row>
    <row r="11" spans="1:7" ht="42" x14ac:dyDescent="0.35">
      <c r="A11" s="230" t="s">
        <v>196</v>
      </c>
      <c r="B11" s="231">
        <v>30000</v>
      </c>
      <c r="C11" s="231">
        <f>875</f>
        <v>875</v>
      </c>
      <c r="D11" s="227">
        <f>B11-C11</f>
        <v>29125</v>
      </c>
      <c r="E11" s="227">
        <f>C11*100/B11</f>
        <v>2.9166666666666665</v>
      </c>
      <c r="F11" s="232"/>
      <c r="G11" s="234"/>
    </row>
    <row r="12" spans="1:7" x14ac:dyDescent="0.35">
      <c r="A12" s="235" t="s">
        <v>197</v>
      </c>
      <c r="B12" s="236">
        <v>20000</v>
      </c>
      <c r="C12" s="236"/>
      <c r="D12" s="237">
        <f>B12-C12</f>
        <v>20000</v>
      </c>
      <c r="E12" s="227">
        <f>C12*100/B12</f>
        <v>0</v>
      </c>
      <c r="F12" s="233"/>
      <c r="G12" s="234"/>
    </row>
    <row r="13" spans="1:7" x14ac:dyDescent="0.35">
      <c r="A13" s="254" t="s">
        <v>280</v>
      </c>
      <c r="B13" s="238"/>
      <c r="C13" s="238"/>
      <c r="D13" s="239"/>
      <c r="E13" s="238"/>
      <c r="F13" s="240"/>
      <c r="G13" s="221"/>
    </row>
    <row r="14" spans="1:7" ht="105" x14ac:dyDescent="0.35">
      <c r="A14" s="222" t="s">
        <v>198</v>
      </c>
      <c r="B14" s="223">
        <f>B15+B16+B17</f>
        <v>490000</v>
      </c>
      <c r="C14" s="223">
        <f>C15+C16+C17</f>
        <v>174200</v>
      </c>
      <c r="D14" s="223">
        <f>D15+D16+D17</f>
        <v>315800</v>
      </c>
      <c r="E14" s="223">
        <f>C14*100/B14</f>
        <v>35.551020408163268</v>
      </c>
      <c r="F14" s="224"/>
      <c r="G14" s="241"/>
    </row>
    <row r="15" spans="1:7" x14ac:dyDescent="0.35">
      <c r="A15" s="255" t="s">
        <v>199</v>
      </c>
      <c r="B15" s="237">
        <v>450000</v>
      </c>
      <c r="C15" s="237">
        <f>56400+56400+56400-(3200+1600)</f>
        <v>164400</v>
      </c>
      <c r="D15" s="237">
        <f>B15-C15</f>
        <v>285600</v>
      </c>
      <c r="E15" s="237">
        <f>C15*100/B15</f>
        <v>36.533333333333331</v>
      </c>
      <c r="F15" s="234"/>
      <c r="G15" s="234"/>
    </row>
    <row r="16" spans="1:7" x14ac:dyDescent="0.35">
      <c r="A16" s="255" t="s">
        <v>200</v>
      </c>
      <c r="B16" s="237">
        <v>30000</v>
      </c>
      <c r="C16" s="237">
        <f>3850+2450+3500</f>
        <v>9800</v>
      </c>
      <c r="D16" s="237">
        <f>B16-C16</f>
        <v>20200</v>
      </c>
      <c r="E16" s="237">
        <f>C16*100/B16</f>
        <v>32.666666666666664</v>
      </c>
      <c r="F16" s="234"/>
      <c r="G16" s="234"/>
    </row>
    <row r="17" spans="1:7" x14ac:dyDescent="0.35">
      <c r="A17" s="255" t="s">
        <v>201</v>
      </c>
      <c r="B17" s="237">
        <v>10000</v>
      </c>
      <c r="C17" s="237"/>
      <c r="D17" s="237">
        <f>B17-C17</f>
        <v>10000</v>
      </c>
      <c r="E17" s="237">
        <f>C17*100/B17</f>
        <v>0</v>
      </c>
      <c r="F17" s="234"/>
      <c r="G17" s="234"/>
    </row>
    <row r="18" spans="1:7" ht="42" x14ac:dyDescent="0.35">
      <c r="A18" s="218" t="s">
        <v>202</v>
      </c>
      <c r="B18" s="238"/>
      <c r="C18" s="238"/>
      <c r="D18" s="238"/>
      <c r="E18" s="238"/>
      <c r="F18" s="240"/>
      <c r="G18" s="221"/>
    </row>
    <row r="19" spans="1:7" ht="20.25" customHeight="1" x14ac:dyDescent="0.35">
      <c r="A19" s="242" t="s">
        <v>203</v>
      </c>
      <c r="B19" s="243">
        <v>100000</v>
      </c>
      <c r="C19" s="243"/>
      <c r="D19" s="243">
        <f>B19-C19</f>
        <v>100000</v>
      </c>
      <c r="E19" s="243">
        <f>C19*100/B19</f>
        <v>0</v>
      </c>
      <c r="F19" s="246"/>
      <c r="G19" s="241"/>
    </row>
    <row r="20" spans="1:7" x14ac:dyDescent="0.35">
      <c r="A20" s="271" t="s">
        <v>204</v>
      </c>
      <c r="B20" s="238"/>
      <c r="C20" s="238"/>
      <c r="D20" s="238"/>
      <c r="E20" s="238"/>
      <c r="F20" s="221"/>
      <c r="G20" s="221"/>
    </row>
    <row r="21" spans="1:7" x14ac:dyDescent="0.35">
      <c r="A21" s="222" t="s">
        <v>205</v>
      </c>
      <c r="B21" s="223">
        <f>B22+B23</f>
        <v>200000</v>
      </c>
      <c r="C21" s="223">
        <f>C22+C23</f>
        <v>0</v>
      </c>
      <c r="D21" s="223">
        <f>D22+D23</f>
        <v>200000</v>
      </c>
      <c r="E21" s="223">
        <f>C21*100/B21</f>
        <v>0</v>
      </c>
      <c r="F21" s="224"/>
      <c r="G21" s="241"/>
    </row>
    <row r="22" spans="1:7" ht="63" x14ac:dyDescent="0.35">
      <c r="A22" s="272" t="s">
        <v>206</v>
      </c>
      <c r="B22" s="273">
        <v>150000</v>
      </c>
      <c r="C22" s="273"/>
      <c r="D22" s="273">
        <f>B22-C22</f>
        <v>150000</v>
      </c>
      <c r="E22" s="273">
        <f>C22*100/B22</f>
        <v>0</v>
      </c>
      <c r="F22" s="274"/>
      <c r="G22" s="234"/>
    </row>
    <row r="23" spans="1:7" x14ac:dyDescent="0.35">
      <c r="A23" s="272" t="s">
        <v>207</v>
      </c>
      <c r="B23" s="273">
        <v>50000</v>
      </c>
      <c r="C23" s="273"/>
      <c r="D23" s="273">
        <f>B23-C23</f>
        <v>50000</v>
      </c>
      <c r="E23" s="273">
        <f>C23*100/B23</f>
        <v>0</v>
      </c>
      <c r="F23" s="274"/>
      <c r="G23" s="234"/>
    </row>
    <row r="24" spans="1:7" ht="42" x14ac:dyDescent="0.35">
      <c r="A24" s="244" t="s">
        <v>208</v>
      </c>
      <c r="B24" s="223">
        <f>B25+B26+B27+B28+B29+B30+B31+B32+B33</f>
        <v>2400720</v>
      </c>
      <c r="C24" s="223">
        <f>C25+C27+C28+C29+C30+C31+C32+C33</f>
        <v>450763</v>
      </c>
      <c r="D24" s="223">
        <f>D25+D27+D28+D29+D30+D31+D32+D33</f>
        <v>1949957</v>
      </c>
      <c r="E24" s="223">
        <f>C24*100/B24</f>
        <v>18.77615881902096</v>
      </c>
      <c r="F24" s="224"/>
      <c r="G24" s="241"/>
    </row>
    <row r="25" spans="1:7" x14ac:dyDescent="0.35">
      <c r="A25" s="275" t="s">
        <v>209</v>
      </c>
      <c r="B25" s="276">
        <v>950000</v>
      </c>
      <c r="C25" s="276">
        <f>36950+33750+27000+17500+3000+3000+7000+32468</f>
        <v>160668</v>
      </c>
      <c r="D25" s="276">
        <f>B25-C25</f>
        <v>789332</v>
      </c>
      <c r="E25" s="276">
        <f>C25*100/B25</f>
        <v>16.912421052631579</v>
      </c>
      <c r="F25" s="277"/>
      <c r="G25" s="234"/>
    </row>
    <row r="26" spans="1:7" x14ac:dyDescent="0.35">
      <c r="A26" s="255" t="s">
        <v>210</v>
      </c>
      <c r="B26" s="237"/>
      <c r="C26" s="237"/>
      <c r="D26" s="237"/>
      <c r="E26" s="276"/>
      <c r="F26" s="234"/>
      <c r="G26" s="234"/>
    </row>
    <row r="27" spans="1:7" ht="42" x14ac:dyDescent="0.35">
      <c r="A27" s="255" t="s">
        <v>211</v>
      </c>
      <c r="B27" s="237">
        <v>840000</v>
      </c>
      <c r="C27" s="285">
        <f>33660+29000</f>
        <v>62660</v>
      </c>
      <c r="D27" s="237">
        <f>B27-C27</f>
        <v>777340</v>
      </c>
      <c r="E27" s="276">
        <f t="shared" ref="E27:E33" si="0">C27*100/B27</f>
        <v>7.4595238095238097</v>
      </c>
      <c r="F27" s="234"/>
      <c r="G27" s="234"/>
    </row>
    <row r="28" spans="1:7" x14ac:dyDescent="0.35">
      <c r="A28" s="255" t="s">
        <v>212</v>
      </c>
      <c r="B28" s="237">
        <v>276000</v>
      </c>
      <c r="C28" s="237">
        <f>10390+87076+1580+875+700+1050</f>
        <v>101671</v>
      </c>
      <c r="D28" s="237">
        <f t="shared" ref="D28:D33" si="1">B28-C28</f>
        <v>174329</v>
      </c>
      <c r="E28" s="276">
        <f t="shared" si="0"/>
        <v>36.837318840579712</v>
      </c>
      <c r="F28" s="268"/>
      <c r="G28" s="234"/>
    </row>
    <row r="29" spans="1:7" x14ac:dyDescent="0.35">
      <c r="A29" s="255" t="s">
        <v>197</v>
      </c>
      <c r="B29" s="237">
        <v>30000</v>
      </c>
      <c r="C29" s="237">
        <f>11620+1040+1336+1248</f>
        <v>15244</v>
      </c>
      <c r="D29" s="237">
        <f t="shared" si="1"/>
        <v>14756</v>
      </c>
      <c r="E29" s="276">
        <f t="shared" si="0"/>
        <v>50.813333333333333</v>
      </c>
      <c r="F29" s="268"/>
      <c r="G29" s="234"/>
    </row>
    <row r="30" spans="1:7" x14ac:dyDescent="0.35">
      <c r="A30" s="255" t="s">
        <v>213</v>
      </c>
      <c r="B30" s="237">
        <v>100000</v>
      </c>
      <c r="C30" s="237">
        <f>91800</f>
        <v>91800</v>
      </c>
      <c r="D30" s="237">
        <f t="shared" si="1"/>
        <v>8200</v>
      </c>
      <c r="E30" s="276">
        <f t="shared" si="0"/>
        <v>91.8</v>
      </c>
      <c r="F30" s="268"/>
      <c r="G30" s="234"/>
    </row>
    <row r="31" spans="1:7" x14ac:dyDescent="0.35">
      <c r="A31" s="255" t="s">
        <v>214</v>
      </c>
      <c r="B31" s="237">
        <v>30000</v>
      </c>
      <c r="C31" s="237"/>
      <c r="D31" s="237">
        <f t="shared" si="1"/>
        <v>30000</v>
      </c>
      <c r="E31" s="276">
        <f t="shared" si="0"/>
        <v>0</v>
      </c>
      <c r="F31" s="268"/>
      <c r="G31" s="234"/>
    </row>
    <row r="32" spans="1:7" ht="42" x14ac:dyDescent="0.35">
      <c r="A32" s="278" t="s">
        <v>215</v>
      </c>
      <c r="B32" s="237">
        <v>18720</v>
      </c>
      <c r="C32" s="237">
        <f>4550+4550+4550+1400+870+2800</f>
        <v>18720</v>
      </c>
      <c r="D32" s="237">
        <f t="shared" si="1"/>
        <v>0</v>
      </c>
      <c r="E32" s="276">
        <f t="shared" si="0"/>
        <v>100</v>
      </c>
      <c r="F32" s="268"/>
      <c r="G32" s="234"/>
    </row>
    <row r="33" spans="1:7" x14ac:dyDescent="0.35">
      <c r="A33" s="278" t="s">
        <v>216</v>
      </c>
      <c r="B33" s="237">
        <v>156000</v>
      </c>
      <c r="C33" s="237"/>
      <c r="D33" s="237">
        <f t="shared" si="1"/>
        <v>156000</v>
      </c>
      <c r="E33" s="276">
        <f t="shared" si="0"/>
        <v>0</v>
      </c>
      <c r="F33" s="270"/>
      <c r="G33" s="234"/>
    </row>
    <row r="34" spans="1:7" ht="63" x14ac:dyDescent="0.35">
      <c r="A34" s="245" t="s">
        <v>233</v>
      </c>
      <c r="B34" s="223">
        <f>B35+B36+B37+B38+B39+B40</f>
        <v>1427280</v>
      </c>
      <c r="C34" s="223">
        <f>C35+C36+C37+C38+C39+C40</f>
        <v>328692.57</v>
      </c>
      <c r="D34" s="223">
        <f>D35+D36+D37+D38+D39+D40</f>
        <v>1098587.43</v>
      </c>
      <c r="E34" s="223">
        <f t="shared" ref="E34:E48" si="2">C34*100/B34</f>
        <v>23.029298385740709</v>
      </c>
      <c r="F34" s="224"/>
      <c r="G34" s="241"/>
    </row>
    <row r="35" spans="1:7" ht="42" x14ac:dyDescent="0.35">
      <c r="A35" s="278" t="s">
        <v>234</v>
      </c>
      <c r="B35" s="237">
        <v>156000</v>
      </c>
      <c r="C35" s="237">
        <f>13000+13000+13000</f>
        <v>39000</v>
      </c>
      <c r="D35" s="237">
        <f t="shared" ref="D35:D40" si="3">B35-C35</f>
        <v>117000</v>
      </c>
      <c r="E35" s="237">
        <f t="shared" si="2"/>
        <v>25</v>
      </c>
      <c r="F35" s="279"/>
      <c r="G35" s="234"/>
    </row>
    <row r="36" spans="1:7" ht="42" x14ac:dyDescent="0.35">
      <c r="A36" s="255" t="s">
        <v>235</v>
      </c>
      <c r="B36" s="237">
        <v>168000</v>
      </c>
      <c r="C36" s="237">
        <f>14000+14000+14000</f>
        <v>42000</v>
      </c>
      <c r="D36" s="237">
        <f t="shared" si="3"/>
        <v>126000</v>
      </c>
      <c r="E36" s="237">
        <f t="shared" si="2"/>
        <v>25</v>
      </c>
      <c r="F36" s="279"/>
      <c r="G36" s="234"/>
    </row>
    <row r="37" spans="1:7" ht="42" x14ac:dyDescent="0.35">
      <c r="A37" s="255" t="s">
        <v>217</v>
      </c>
      <c r="B37" s="237">
        <v>180000</v>
      </c>
      <c r="C37" s="237">
        <f>15000+15000+15000</f>
        <v>45000</v>
      </c>
      <c r="D37" s="237">
        <f t="shared" si="3"/>
        <v>135000</v>
      </c>
      <c r="E37" s="237">
        <f t="shared" si="2"/>
        <v>25</v>
      </c>
      <c r="F37" s="279"/>
      <c r="G37" s="234"/>
    </row>
    <row r="38" spans="1:7" ht="42" x14ac:dyDescent="0.35">
      <c r="A38" s="255" t="s">
        <v>236</v>
      </c>
      <c r="B38" s="237">
        <v>360000</v>
      </c>
      <c r="C38" s="237">
        <f>15000+15000+30000+30000+5322.57</f>
        <v>95322.57</v>
      </c>
      <c r="D38" s="237">
        <f t="shared" si="3"/>
        <v>264677.43</v>
      </c>
      <c r="E38" s="237">
        <f t="shared" si="2"/>
        <v>26.478491666666667</v>
      </c>
      <c r="F38" s="279"/>
      <c r="G38" s="234"/>
    </row>
    <row r="39" spans="1:7" ht="105" x14ac:dyDescent="0.35">
      <c r="A39" s="255" t="s">
        <v>237</v>
      </c>
      <c r="B39" s="237">
        <v>275280</v>
      </c>
      <c r="C39" s="237">
        <f>11790+11790+11790</f>
        <v>35370</v>
      </c>
      <c r="D39" s="237">
        <f t="shared" si="3"/>
        <v>239910</v>
      </c>
      <c r="E39" s="237">
        <f t="shared" si="2"/>
        <v>12.848735832606801</v>
      </c>
      <c r="F39" s="279"/>
      <c r="G39" s="234"/>
    </row>
    <row r="40" spans="1:7" x14ac:dyDescent="0.35">
      <c r="A40" s="255" t="s">
        <v>238</v>
      </c>
      <c r="B40" s="237">
        <v>288000</v>
      </c>
      <c r="C40" s="237">
        <f>12000+12000+12000+12000+12000+12000</f>
        <v>72000</v>
      </c>
      <c r="D40" s="237">
        <f t="shared" si="3"/>
        <v>216000</v>
      </c>
      <c r="E40" s="237">
        <f t="shared" si="2"/>
        <v>25</v>
      </c>
      <c r="F40" s="280"/>
      <c r="G40" s="234"/>
    </row>
    <row r="41" spans="1:7" ht="63" x14ac:dyDescent="0.35">
      <c r="A41" s="245" t="s">
        <v>218</v>
      </c>
      <c r="B41" s="223">
        <f>B42+B43</f>
        <v>100000</v>
      </c>
      <c r="C41" s="223">
        <f>C42+C43</f>
        <v>0</v>
      </c>
      <c r="D41" s="223">
        <f>D42+D43</f>
        <v>0</v>
      </c>
      <c r="E41" s="223">
        <f t="shared" si="2"/>
        <v>0</v>
      </c>
      <c r="F41" s="224"/>
      <c r="G41" s="241"/>
    </row>
    <row r="42" spans="1:7" ht="42" x14ac:dyDescent="0.35">
      <c r="A42" s="281" t="s">
        <v>219</v>
      </c>
      <c r="B42" s="237">
        <v>50000</v>
      </c>
      <c r="C42" s="237"/>
      <c r="D42" s="237"/>
      <c r="E42" s="237">
        <f t="shared" si="2"/>
        <v>0</v>
      </c>
      <c r="F42" s="234"/>
      <c r="G42" s="234"/>
    </row>
    <row r="43" spans="1:7" x14ac:dyDescent="0.35">
      <c r="A43" s="281" t="s">
        <v>220</v>
      </c>
      <c r="B43" s="237">
        <v>50000</v>
      </c>
      <c r="C43" s="237"/>
      <c r="D43" s="237"/>
      <c r="E43" s="237">
        <f t="shared" si="2"/>
        <v>0</v>
      </c>
      <c r="F43" s="234"/>
      <c r="G43" s="234"/>
    </row>
    <row r="44" spans="1:7" ht="42" x14ac:dyDescent="0.35">
      <c r="A44" s="242" t="s">
        <v>221</v>
      </c>
      <c r="B44" s="243">
        <v>1500000</v>
      </c>
      <c r="C44" s="243">
        <f>C45+C46+C48+C47+C49</f>
        <v>255272</v>
      </c>
      <c r="D44" s="243">
        <f>B44-C44</f>
        <v>1244728</v>
      </c>
      <c r="E44" s="243">
        <f t="shared" si="2"/>
        <v>17.018133333333335</v>
      </c>
      <c r="F44" s="246"/>
      <c r="G44" s="241"/>
    </row>
    <row r="45" spans="1:7" s="251" customFormat="1" ht="31.5" x14ac:dyDescent="0.35">
      <c r="A45" s="282" t="s">
        <v>247</v>
      </c>
      <c r="B45" s="247">
        <v>76000</v>
      </c>
      <c r="C45" s="247">
        <f>62500+13500</f>
        <v>76000</v>
      </c>
      <c r="D45" s="247">
        <f>B45-C45</f>
        <v>0</v>
      </c>
      <c r="E45" s="252">
        <f t="shared" si="2"/>
        <v>100</v>
      </c>
      <c r="F45" s="249"/>
      <c r="G45" s="250" t="s">
        <v>245</v>
      </c>
    </row>
    <row r="46" spans="1:7" s="251" customFormat="1" ht="42" x14ac:dyDescent="0.35">
      <c r="A46" s="282" t="s">
        <v>267</v>
      </c>
      <c r="B46" s="247">
        <v>191000</v>
      </c>
      <c r="C46" s="247"/>
      <c r="D46" s="247">
        <f>B46-C46</f>
        <v>191000</v>
      </c>
      <c r="E46" s="248">
        <f t="shared" si="2"/>
        <v>0</v>
      </c>
      <c r="F46" s="249"/>
      <c r="G46" s="250" t="s">
        <v>269</v>
      </c>
    </row>
    <row r="47" spans="1:7" s="251" customFormat="1" ht="63" x14ac:dyDescent="0.35">
      <c r="A47" s="282" t="s">
        <v>268</v>
      </c>
      <c r="B47" s="247">
        <v>172700</v>
      </c>
      <c r="C47" s="247">
        <f>131600+18000-10328</f>
        <v>139272</v>
      </c>
      <c r="D47" s="247">
        <f>B47-C47</f>
        <v>33428</v>
      </c>
      <c r="E47" s="252">
        <f t="shared" si="2"/>
        <v>80.64389114070643</v>
      </c>
      <c r="F47" s="249"/>
      <c r="G47" s="250"/>
    </row>
    <row r="48" spans="1:7" s="251" customFormat="1" ht="63" x14ac:dyDescent="0.35">
      <c r="A48" s="282" t="s">
        <v>279</v>
      </c>
      <c r="B48" s="247">
        <v>280000</v>
      </c>
      <c r="C48" s="247">
        <f>40000</f>
        <v>40000</v>
      </c>
      <c r="D48" s="247">
        <f>B48-C48</f>
        <v>240000</v>
      </c>
      <c r="E48" s="252">
        <f t="shared" si="2"/>
        <v>14.285714285714286</v>
      </c>
      <c r="F48" s="249"/>
      <c r="G48" s="250"/>
    </row>
    <row r="49" spans="1:8" s="251" customFormat="1" ht="42" x14ac:dyDescent="0.35">
      <c r="A49" s="282" t="s">
        <v>290</v>
      </c>
      <c r="B49" s="247">
        <v>272500</v>
      </c>
      <c r="C49" s="247"/>
      <c r="D49" s="247">
        <v>507800</v>
      </c>
      <c r="E49" s="252"/>
      <c r="F49" s="249"/>
      <c r="G49" s="250" t="s">
        <v>291</v>
      </c>
    </row>
    <row r="50" spans="1:8" ht="63" x14ac:dyDescent="0.35">
      <c r="A50" s="283" t="s">
        <v>239</v>
      </c>
      <c r="B50" s="219"/>
      <c r="C50" s="219"/>
      <c r="D50" s="219"/>
      <c r="E50" s="219"/>
      <c r="F50" s="253"/>
      <c r="G50" s="221"/>
    </row>
    <row r="51" spans="1:8" x14ac:dyDescent="0.35">
      <c r="A51" s="222" t="s">
        <v>222</v>
      </c>
      <c r="B51" s="243">
        <v>1000000</v>
      </c>
      <c r="C51" s="243"/>
      <c r="D51" s="243">
        <f>B51-C51</f>
        <v>1000000</v>
      </c>
      <c r="E51" s="243">
        <f>C51*100/B51</f>
        <v>0</v>
      </c>
      <c r="F51" s="246"/>
      <c r="G51" s="241"/>
    </row>
    <row r="52" spans="1:8" x14ac:dyDescent="0.35">
      <c r="A52" s="254" t="s">
        <v>223</v>
      </c>
      <c r="B52" s="238"/>
      <c r="C52" s="238"/>
      <c r="D52" s="238"/>
      <c r="E52" s="238"/>
      <c r="F52" s="221"/>
      <c r="G52" s="221"/>
    </row>
    <row r="53" spans="1:8" ht="42" x14ac:dyDescent="0.35">
      <c r="A53" s="245" t="s">
        <v>224</v>
      </c>
      <c r="B53" s="223">
        <f>B54+B55+B56+B57+B58+B59+B60</f>
        <v>572000</v>
      </c>
      <c r="C53" s="223">
        <f>C55+C56+C57+C58+C59+C60</f>
        <v>22640</v>
      </c>
      <c r="D53" s="223">
        <f>D55+D56+D57+D58+D59+D60</f>
        <v>549360</v>
      </c>
      <c r="E53" s="223">
        <f>C53*100/B53</f>
        <v>3.9580419580419579</v>
      </c>
      <c r="F53" s="224"/>
      <c r="G53" s="241"/>
    </row>
    <row r="54" spans="1:8" ht="42" x14ac:dyDescent="0.35">
      <c r="A54" s="255" t="s">
        <v>225</v>
      </c>
      <c r="B54" s="237">
        <v>0</v>
      </c>
      <c r="C54" s="237"/>
      <c r="D54" s="237"/>
      <c r="E54" s="237"/>
      <c r="F54" s="234"/>
      <c r="G54" s="234"/>
    </row>
    <row r="55" spans="1:8" x14ac:dyDescent="0.35">
      <c r="A55" s="255" t="s">
        <v>226</v>
      </c>
      <c r="B55" s="237">
        <v>276000</v>
      </c>
      <c r="C55" s="237">
        <f>355+1400+1225+700+350+1050+6800</f>
        <v>11880</v>
      </c>
      <c r="D55" s="237">
        <f t="shared" ref="D55:D60" si="4">B55-C55</f>
        <v>264120</v>
      </c>
      <c r="E55" s="237">
        <f t="shared" ref="E55:E61" si="5">C55*100/B55</f>
        <v>4.3043478260869561</v>
      </c>
      <c r="F55" s="234"/>
      <c r="G55" s="234"/>
    </row>
    <row r="56" spans="1:8" x14ac:dyDescent="0.35">
      <c r="A56" s="255" t="s">
        <v>227</v>
      </c>
      <c r="B56" s="237">
        <v>10000</v>
      </c>
      <c r="C56" s="237">
        <f>230+530</f>
        <v>760</v>
      </c>
      <c r="D56" s="237">
        <f t="shared" si="4"/>
        <v>9240</v>
      </c>
      <c r="E56" s="237">
        <f t="shared" si="5"/>
        <v>7.6</v>
      </c>
      <c r="F56" s="234"/>
      <c r="G56" s="234"/>
    </row>
    <row r="57" spans="1:8" x14ac:dyDescent="0.35">
      <c r="A57" s="255" t="s">
        <v>228</v>
      </c>
      <c r="B57" s="237">
        <v>100000</v>
      </c>
      <c r="C57" s="237"/>
      <c r="D57" s="237">
        <f t="shared" si="4"/>
        <v>100000</v>
      </c>
      <c r="E57" s="237">
        <f t="shared" si="5"/>
        <v>0</v>
      </c>
      <c r="F57" s="268"/>
      <c r="G57" s="234"/>
    </row>
    <row r="58" spans="1:8" x14ac:dyDescent="0.35">
      <c r="A58" s="255" t="s">
        <v>229</v>
      </c>
      <c r="B58" s="237">
        <v>20000</v>
      </c>
      <c r="C58" s="237"/>
      <c r="D58" s="237">
        <f t="shared" si="4"/>
        <v>20000</v>
      </c>
      <c r="E58" s="237">
        <f t="shared" si="5"/>
        <v>0</v>
      </c>
      <c r="F58" s="268"/>
      <c r="G58" s="234"/>
    </row>
    <row r="59" spans="1:8" ht="43.5" customHeight="1" x14ac:dyDescent="0.35">
      <c r="A59" s="255" t="s">
        <v>230</v>
      </c>
      <c r="B59" s="237">
        <v>10000</v>
      </c>
      <c r="C59" s="237">
        <f>770+770+1015+1050+6395</f>
        <v>10000</v>
      </c>
      <c r="D59" s="237">
        <f t="shared" si="4"/>
        <v>0</v>
      </c>
      <c r="E59" s="237">
        <f t="shared" si="5"/>
        <v>100</v>
      </c>
      <c r="F59" s="268"/>
      <c r="G59" s="234"/>
    </row>
    <row r="60" spans="1:8" x14ac:dyDescent="0.35">
      <c r="A60" s="269" t="s">
        <v>231</v>
      </c>
      <c r="B60" s="237">
        <v>156000</v>
      </c>
      <c r="C60" s="237"/>
      <c r="D60" s="237">
        <f t="shared" si="4"/>
        <v>156000</v>
      </c>
      <c r="E60" s="237">
        <f t="shared" si="5"/>
        <v>0</v>
      </c>
      <c r="F60" s="270"/>
      <c r="G60" s="234"/>
    </row>
    <row r="61" spans="1:8" ht="24" customHeight="1" x14ac:dyDescent="0.35">
      <c r="A61" s="284" t="s">
        <v>62</v>
      </c>
      <c r="B61" s="256">
        <f>B8+B14+B19+B21+B24+B34+B41+B44+B51+B53</f>
        <v>8000000</v>
      </c>
      <c r="C61" s="256">
        <f>C8+C14+C19+C21+C24+C34+C41+C44+C51+C53</f>
        <v>1232442.57</v>
      </c>
      <c r="D61" s="256">
        <f>D8+D14+D19+D21+D24+D34+D41+D44+D51+D53</f>
        <v>6667557.4299999997</v>
      </c>
      <c r="E61" s="256">
        <f t="shared" si="5"/>
        <v>15.405532125000001</v>
      </c>
      <c r="F61" s="256">
        <f>F8+F14+F19+F21+F24+F34+F41+F44+F51+F53</f>
        <v>0</v>
      </c>
      <c r="G61" s="257"/>
      <c r="H61" s="258"/>
    </row>
    <row r="62" spans="1:8" x14ac:dyDescent="0.35">
      <c r="B62" s="259"/>
      <c r="C62" s="260"/>
      <c r="D62" s="260"/>
      <c r="E62" s="260"/>
      <c r="F62" s="261"/>
    </row>
    <row r="63" spans="1:8" x14ac:dyDescent="0.35">
      <c r="B63" s="262"/>
      <c r="C63" s="262"/>
      <c r="D63" s="262"/>
      <c r="E63" s="262"/>
      <c r="F63" s="261"/>
    </row>
    <row r="64" spans="1:8" x14ac:dyDescent="0.35">
      <c r="B64" s="263"/>
      <c r="C64" s="263"/>
      <c r="D64" s="263"/>
      <c r="E64" s="263"/>
      <c r="F64" s="264"/>
    </row>
    <row r="65" spans="1:6" x14ac:dyDescent="0.35">
      <c r="A65" s="265"/>
      <c r="B65" s="263"/>
      <c r="C65" s="263"/>
      <c r="D65" s="263"/>
      <c r="E65" s="263"/>
      <c r="F65" s="266"/>
    </row>
    <row r="66" spans="1:6" x14ac:dyDescent="0.35">
      <c r="F66" s="267"/>
    </row>
  </sheetData>
  <mergeCells count="6">
    <mergeCell ref="G5:G6"/>
    <mergeCell ref="A5:A6"/>
    <mergeCell ref="B5:F5"/>
    <mergeCell ref="A2:F2"/>
    <mergeCell ref="A3:F3"/>
    <mergeCell ref="D4:G4"/>
  </mergeCells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911" t="s">
        <v>255</v>
      </c>
      <c r="B1" s="912"/>
      <c r="C1" s="912"/>
      <c r="D1" s="912"/>
      <c r="E1" s="912"/>
      <c r="F1" s="912"/>
      <c r="G1" s="912"/>
    </row>
    <row r="3" spans="1:7" ht="21" x14ac:dyDescent="0.2">
      <c r="A3" s="913" t="s">
        <v>248</v>
      </c>
      <c r="B3" s="913" t="s">
        <v>141</v>
      </c>
      <c r="C3" s="913" t="s">
        <v>240</v>
      </c>
      <c r="D3" s="913" t="s">
        <v>249</v>
      </c>
      <c r="E3" s="913"/>
      <c r="F3" s="913"/>
      <c r="G3" s="913" t="s">
        <v>250</v>
      </c>
    </row>
    <row r="4" spans="1:7" ht="21" x14ac:dyDescent="0.2">
      <c r="A4" s="913"/>
      <c r="B4" s="913"/>
      <c r="C4" s="913"/>
      <c r="D4" s="201" t="s">
        <v>251</v>
      </c>
      <c r="E4" s="201" t="s">
        <v>188</v>
      </c>
      <c r="F4" s="201" t="s">
        <v>252</v>
      </c>
      <c r="G4" s="913"/>
    </row>
    <row r="5" spans="1:7" ht="63" x14ac:dyDescent="0.35">
      <c r="A5" s="202">
        <v>1</v>
      </c>
      <c r="B5" s="203" t="s">
        <v>254</v>
      </c>
      <c r="C5" s="204">
        <v>250000</v>
      </c>
      <c r="D5" s="205">
        <f>10064+13000+13000+13000+13000+13000</f>
        <v>75064</v>
      </c>
      <c r="E5" s="206">
        <f>D5*100/C5</f>
        <v>30.025600000000001</v>
      </c>
      <c r="F5" s="207">
        <f>C5-D5</f>
        <v>174936</v>
      </c>
      <c r="G5" s="208" t="s">
        <v>253</v>
      </c>
    </row>
    <row r="6" spans="1:7" ht="21" x14ac:dyDescent="0.35">
      <c r="A6" s="209"/>
      <c r="B6" s="209" t="s">
        <v>62</v>
      </c>
      <c r="C6" s="210">
        <f>C5</f>
        <v>250000</v>
      </c>
      <c r="D6" s="210">
        <f>D5</f>
        <v>75064</v>
      </c>
      <c r="E6" s="211">
        <f>E5</f>
        <v>30.025600000000001</v>
      </c>
      <c r="F6" s="210">
        <f>F5</f>
        <v>174936</v>
      </c>
      <c r="G6" s="212"/>
    </row>
    <row r="7" spans="1:7" x14ac:dyDescent="0.2">
      <c r="D7" t="s">
        <v>256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7</vt:i4>
      </vt:variant>
    </vt:vector>
  </HeadingPairs>
  <TitlesOfParts>
    <vt:vector size="13" baseType="lpstr">
      <vt:lpstr>งบหน้า</vt:lpstr>
      <vt:lpstr>งบจังหวัด 2562 (2)</vt:lpstr>
      <vt:lpstr>งบกลุ่ม 2562</vt:lpstr>
      <vt:lpstr>งบจังหวัด 2562</vt:lpstr>
      <vt:lpstr>งบ 8 ล้าน</vt:lpstr>
      <vt:lpstr>งบกลุ่ม 250000</vt:lpstr>
      <vt:lpstr>'งบ 8 ล้าน'!Print_Area</vt:lpstr>
      <vt:lpstr>'งบจังหวัด 2562'!Print_Area</vt:lpstr>
      <vt:lpstr>'งบจังหวัด 2562 (2)'!Print_Area</vt:lpstr>
      <vt:lpstr>'งบ 8 ล้าน'!Print_Titles</vt:lpstr>
      <vt:lpstr>'งบกลุ่ม 2562'!Print_Titles</vt:lpstr>
      <vt:lpstr>'งบจังหวัด 2562'!Print_Titles</vt:lpstr>
      <vt:lpstr>'งบจังหวัด 2562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kannika.com</dc:creator>
  <cp:lastModifiedBy>jass</cp:lastModifiedBy>
  <cp:lastPrinted>2019-04-26T04:08:50Z</cp:lastPrinted>
  <dcterms:created xsi:type="dcterms:W3CDTF">2018-07-07T14:00:09Z</dcterms:created>
  <dcterms:modified xsi:type="dcterms:W3CDTF">2019-04-26T08:30:52Z</dcterms:modified>
</cp:coreProperties>
</file>