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025" windowWidth="18975" windowHeight="6150" activeTab="1"/>
  </bookViews>
  <sheets>
    <sheet name="งบจังหวัด60" sheetId="2" r:id="rId1"/>
    <sheet name="งบกลุ่ม60" sheetId="3" r:id="rId2"/>
    <sheet name="งบ 8 ล้าน" sheetId="4" state="hidden" r:id="rId3"/>
    <sheet name="เหมียว 250000" sheetId="5" state="hidden" r:id="rId4"/>
    <sheet name="หน้างบจังหวัด" sheetId="6" state="hidden" r:id="rId5"/>
    <sheet name="งบเร่งด่วน 2 ล้านบาท" sheetId="7" state="hidden" r:id="rId6"/>
    <sheet name="หน้างบกลุ่มจังหวัด" sheetId="8" state="hidden" r:id="rId7"/>
    <sheet name="งบ 60 (เพิ่มเติม)" sheetId="9" state="hidden" r:id="rId8"/>
    <sheet name="Sheet1" sheetId="10" state="hidden" r:id="rId9"/>
  </sheets>
  <definedNames>
    <definedName name="_xlnm.Print_Area" localSheetId="0">งบจังหวัด60!$A$1:$N$166</definedName>
    <definedName name="_xlnm.Print_Titles" localSheetId="7">'งบ 60 (เพิ่มเติม)'!$1:$6</definedName>
    <definedName name="_xlnm.Print_Titles" localSheetId="2">'งบ 8 ล้าน'!$4:$6</definedName>
    <definedName name="_xlnm.Print_Titles" localSheetId="1">งบกลุ่ม60!$5:$7</definedName>
    <definedName name="_xlnm.Print_Titles" localSheetId="0">งบจังหวัด60!$5:$7</definedName>
    <definedName name="_xlnm.Print_Titles" localSheetId="6">หน้างบกลุ่มจังหวัด!$4:$6</definedName>
    <definedName name="_xlnm.Print_Titles" localSheetId="4">หน้างบจังหวัด!$5:$6</definedName>
  </definedNames>
  <calcPr calcId="145621"/>
</workbook>
</file>

<file path=xl/calcChain.xml><?xml version="1.0" encoding="utf-8"?>
<calcChain xmlns="http://schemas.openxmlformats.org/spreadsheetml/2006/main">
  <c r="K33" i="3" l="1"/>
  <c r="K118" i="2"/>
  <c r="K137" i="2" l="1"/>
  <c r="M204" i="9"/>
  <c r="F74" i="4" l="1"/>
  <c r="F31" i="4"/>
  <c r="F26" i="4"/>
  <c r="F38" i="4"/>
  <c r="K151" i="2" l="1"/>
  <c r="K12" i="2"/>
  <c r="F10" i="4" l="1"/>
  <c r="K29" i="3"/>
  <c r="K77" i="2"/>
  <c r="K64" i="2"/>
  <c r="K123" i="2"/>
  <c r="K121" i="2"/>
  <c r="K119" i="2"/>
  <c r="K89" i="2"/>
  <c r="K27" i="3"/>
  <c r="K51" i="3"/>
  <c r="F61" i="4"/>
  <c r="M38" i="9" l="1"/>
  <c r="K55" i="2" l="1"/>
  <c r="F75" i="4"/>
  <c r="F27" i="4"/>
  <c r="L47" i="9"/>
  <c r="K33" i="2" l="1"/>
  <c r="K150" i="2"/>
  <c r="K78" i="2"/>
  <c r="K35" i="3" l="1"/>
  <c r="K45" i="3" l="1"/>
  <c r="K157" i="2" l="1"/>
  <c r="F30" i="4" l="1"/>
  <c r="F25" i="4"/>
  <c r="K87" i="2" l="1"/>
  <c r="L78" i="9" l="1"/>
  <c r="L76" i="9" s="1"/>
  <c r="L75" i="9" s="1"/>
  <c r="L207" i="9"/>
  <c r="L206" i="9" s="1"/>
  <c r="L205" i="9" s="1"/>
  <c r="L203" i="9"/>
  <c r="L202" i="9"/>
  <c r="L201" i="9" s="1"/>
  <c r="L200" i="9" s="1"/>
  <c r="L199" i="9"/>
  <c r="L198" i="9"/>
  <c r="L196" i="9"/>
  <c r="L195" i="9"/>
  <c r="L193" i="9"/>
  <c r="L192" i="9"/>
  <c r="L191" i="9"/>
  <c r="L189" i="9"/>
  <c r="L188" i="9" s="1"/>
  <c r="L186" i="9"/>
  <c r="L187" i="9"/>
  <c r="L185" i="9"/>
  <c r="L183" i="9"/>
  <c r="L182" i="9" s="1"/>
  <c r="L181" i="9"/>
  <c r="L180" i="9" s="1"/>
  <c r="L179" i="9"/>
  <c r="L174" i="9"/>
  <c r="L173" i="9" s="1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55" i="9"/>
  <c r="L152" i="9"/>
  <c r="L151" i="9"/>
  <c r="L147" i="9"/>
  <c r="L137" i="9"/>
  <c r="L138" i="9"/>
  <c r="L139" i="9"/>
  <c r="L140" i="9"/>
  <c r="L141" i="9"/>
  <c r="L142" i="9"/>
  <c r="L143" i="9"/>
  <c r="L144" i="9"/>
  <c r="L136" i="9"/>
  <c r="L135" i="9"/>
  <c r="L134" i="9"/>
  <c r="L13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00" i="9"/>
  <c r="L96" i="9"/>
  <c r="L95" i="9"/>
  <c r="L86" i="9"/>
  <c r="L83" i="9"/>
  <c r="L80" i="9"/>
  <c r="L72" i="9"/>
  <c r="L70" i="9"/>
  <c r="L68" i="9"/>
  <c r="L67" i="9" s="1"/>
  <c r="L65" i="9" s="1"/>
  <c r="L55" i="9"/>
  <c r="L56" i="9"/>
  <c r="L57" i="9"/>
  <c r="L58" i="9"/>
  <c r="L59" i="9"/>
  <c r="L60" i="9"/>
  <c r="L61" i="9"/>
  <c r="L62" i="9"/>
  <c r="L63" i="9"/>
  <c r="L64" i="9"/>
  <c r="L54" i="9"/>
  <c r="L41" i="9"/>
  <c r="L42" i="9"/>
  <c r="L43" i="9"/>
  <c r="L44" i="9"/>
  <c r="L45" i="9"/>
  <c r="L46" i="9"/>
  <c r="L48" i="9"/>
  <c r="L49" i="9"/>
  <c r="L50" i="9"/>
  <c r="L40" i="9"/>
  <c r="L28" i="9"/>
  <c r="L29" i="9"/>
  <c r="L30" i="9"/>
  <c r="L27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12" i="9"/>
  <c r="K207" i="9"/>
  <c r="K206" i="9" s="1"/>
  <c r="K205" i="9" s="1"/>
  <c r="K203" i="9"/>
  <c r="K201" i="9"/>
  <c r="K200" i="9" s="1"/>
  <c r="K197" i="9"/>
  <c r="K174" i="9"/>
  <c r="K173" i="9" s="1"/>
  <c r="K154" i="9"/>
  <c r="K150" i="9"/>
  <c r="K149" i="9" s="1"/>
  <c r="K147" i="9"/>
  <c r="K133" i="9"/>
  <c r="K132" i="9" s="1"/>
  <c r="K130" i="9"/>
  <c r="K99" i="9"/>
  <c r="K97" i="9" s="1"/>
  <c r="K94" i="9"/>
  <c r="K92" i="9" s="1"/>
  <c r="K86" i="9"/>
  <c r="K83" i="9"/>
  <c r="K80" i="9"/>
  <c r="K76" i="9"/>
  <c r="K75" i="9" s="1"/>
  <c r="K72" i="9"/>
  <c r="K70" i="9"/>
  <c r="K67" i="9"/>
  <c r="K65" i="9" s="1"/>
  <c r="K53" i="9"/>
  <c r="K51" i="9" s="1"/>
  <c r="K39" i="9"/>
  <c r="K37" i="9" s="1"/>
  <c r="K26" i="9"/>
  <c r="K11" i="9"/>
  <c r="K194" i="9"/>
  <c r="K190" i="9"/>
  <c r="K188" i="9"/>
  <c r="K184" i="9"/>
  <c r="K182" i="9"/>
  <c r="K180" i="9"/>
  <c r="K178" i="9"/>
  <c r="L178" i="9" s="1"/>
  <c r="L190" i="9" l="1"/>
  <c r="L197" i="9"/>
  <c r="L94" i="9"/>
  <c r="L92" i="9" s="1"/>
  <c r="L39" i="9"/>
  <c r="L37" i="9" s="1"/>
  <c r="L99" i="9"/>
  <c r="L97" i="9" s="1"/>
  <c r="L184" i="9"/>
  <c r="L194" i="9"/>
  <c r="L154" i="9"/>
  <c r="L150" i="9"/>
  <c r="L149" i="9" s="1"/>
  <c r="L146" i="9" s="1"/>
  <c r="L133" i="9"/>
  <c r="L132" i="9" s="1"/>
  <c r="L82" i="9"/>
  <c r="L74" i="9"/>
  <c r="L69" i="9"/>
  <c r="L53" i="9"/>
  <c r="L51" i="9" s="1"/>
  <c r="L26" i="9"/>
  <c r="L11" i="9"/>
  <c r="K91" i="9"/>
  <c r="K90" i="9" s="1"/>
  <c r="K89" i="9" s="1"/>
  <c r="K146" i="9"/>
  <c r="K82" i="9"/>
  <c r="K74" i="9"/>
  <c r="K69" i="9"/>
  <c r="K34" i="9"/>
  <c r="K32" i="9" s="1"/>
  <c r="K10" i="9"/>
  <c r="K9" i="9" s="1"/>
  <c r="K177" i="9"/>
  <c r="K176" i="9" s="1"/>
  <c r="K153" i="9" s="1"/>
  <c r="K69" i="2"/>
  <c r="L91" i="9" l="1"/>
  <c r="L90" i="9" s="1"/>
  <c r="L89" i="9" s="1"/>
  <c r="L34" i="9"/>
  <c r="L32" i="9" s="1"/>
  <c r="L177" i="9"/>
  <c r="L176" i="9" s="1"/>
  <c r="L153" i="9" s="1"/>
  <c r="L145" i="9" s="1"/>
  <c r="L10" i="9"/>
  <c r="L9" i="9" s="1"/>
  <c r="L8" i="9" s="1"/>
  <c r="K145" i="9"/>
  <c r="K8" i="9"/>
  <c r="K85" i="2"/>
  <c r="K22" i="3"/>
  <c r="L210" i="9" l="1"/>
  <c r="K210" i="9"/>
  <c r="L7" i="9"/>
  <c r="K7" i="9"/>
  <c r="K134" i="2"/>
  <c r="K74" i="2"/>
  <c r="D5" i="5" l="1"/>
  <c r="F35" i="4"/>
  <c r="F60" i="4"/>
  <c r="M203" i="9"/>
  <c r="F16" i="4" l="1"/>
  <c r="F55" i="4" l="1"/>
  <c r="M206" i="9" l="1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F154" i="9"/>
  <c r="G154" i="9"/>
  <c r="G173" i="9"/>
  <c r="F147" i="9"/>
  <c r="G147" i="9"/>
  <c r="F149" i="9"/>
  <c r="N152" i="9"/>
  <c r="N151" i="9"/>
  <c r="N148" i="9"/>
  <c r="N147" i="9" s="1"/>
  <c r="N137" i="9"/>
  <c r="N138" i="9"/>
  <c r="N139" i="9"/>
  <c r="N140" i="9"/>
  <c r="N141" i="9"/>
  <c r="N142" i="9"/>
  <c r="N143" i="9"/>
  <c r="N144" i="9"/>
  <c r="N136" i="9"/>
  <c r="O131" i="9"/>
  <c r="N131" i="9"/>
  <c r="N130" i="9" s="1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00" i="9"/>
  <c r="O98" i="9"/>
  <c r="N98" i="9"/>
  <c r="O95" i="9"/>
  <c r="O96" i="9"/>
  <c r="O93" i="9"/>
  <c r="N96" i="9"/>
  <c r="N95" i="9"/>
  <c r="N93" i="9"/>
  <c r="O88" i="9"/>
  <c r="N88" i="9"/>
  <c r="O87" i="9"/>
  <c r="N87" i="9"/>
  <c r="O85" i="9"/>
  <c r="O84" i="9"/>
  <c r="N85" i="9"/>
  <c r="N84" i="9"/>
  <c r="O81" i="9"/>
  <c r="N81" i="9"/>
  <c r="N80" i="9" s="1"/>
  <c r="O77" i="9"/>
  <c r="N77" i="9"/>
  <c r="O78" i="9"/>
  <c r="N78" i="9"/>
  <c r="O79" i="9"/>
  <c r="N79" i="9"/>
  <c r="N86" i="9" l="1"/>
  <c r="N76" i="9"/>
  <c r="N75" i="9" s="1"/>
  <c r="N74" i="9"/>
  <c r="F146" i="9"/>
  <c r="N99" i="9"/>
  <c r="N97" i="9" s="1"/>
  <c r="N150" i="9"/>
  <c r="N149" i="9" s="1"/>
  <c r="N146" i="9" s="1"/>
  <c r="N94" i="9"/>
  <c r="N92" i="9" s="1"/>
  <c r="N83" i="9"/>
  <c r="N82" i="9" s="1"/>
  <c r="F33" i="4"/>
  <c r="F37" i="4"/>
  <c r="N91" i="9" l="1"/>
  <c r="N90" i="9" s="1"/>
  <c r="N89" i="9" s="1"/>
  <c r="E154" i="9"/>
  <c r="O155" i="9"/>
  <c r="N155" i="9"/>
  <c r="N154" i="9" s="1"/>
  <c r="O175" i="9"/>
  <c r="N175" i="9"/>
  <c r="N174" i="9" s="1"/>
  <c r="N173" i="9" s="1"/>
  <c r="O179" i="9"/>
  <c r="O178" i="9"/>
  <c r="N178" i="9"/>
  <c r="N179" i="9"/>
  <c r="O183" i="9"/>
  <c r="N183" i="9"/>
  <c r="N182" i="9" s="1"/>
  <c r="O181" i="9"/>
  <c r="N181" i="9"/>
  <c r="N180" i="9" s="1"/>
  <c r="O186" i="9"/>
  <c r="O187" i="9"/>
  <c r="O185" i="9"/>
  <c r="N186" i="9"/>
  <c r="N187" i="9"/>
  <c r="N185" i="9"/>
  <c r="N184" i="9" l="1"/>
  <c r="F36" i="4"/>
  <c r="F34" i="4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12" i="9"/>
  <c r="O55" i="9"/>
  <c r="O56" i="9"/>
  <c r="O58" i="9"/>
  <c r="O59" i="9"/>
  <c r="O60" i="9"/>
  <c r="O61" i="9"/>
  <c r="O62" i="9"/>
  <c r="O63" i="9"/>
  <c r="O64" i="9"/>
  <c r="N56" i="9"/>
  <c r="N58" i="9"/>
  <c r="N59" i="9"/>
  <c r="N60" i="9"/>
  <c r="N62" i="9"/>
  <c r="N63" i="9"/>
  <c r="N64" i="9"/>
  <c r="O54" i="9"/>
  <c r="N54" i="9"/>
  <c r="O66" i="9"/>
  <c r="N66" i="9"/>
  <c r="M67" i="9"/>
  <c r="M65" i="9" s="1"/>
  <c r="N11" i="9" l="1"/>
  <c r="K48" i="2"/>
  <c r="K43" i="2"/>
  <c r="F69" i="4" l="1"/>
  <c r="F24" i="4"/>
  <c r="M52" i="9" l="1"/>
  <c r="N52" i="9" l="1"/>
  <c r="O52" i="9"/>
  <c r="F51" i="9" l="1"/>
  <c r="F65" i="9"/>
  <c r="G67" i="9"/>
  <c r="G65" i="9" s="1"/>
  <c r="F80" i="9"/>
  <c r="G76" i="9"/>
  <c r="G75" i="9" s="1"/>
  <c r="G74" i="9" s="1"/>
  <c r="F76" i="9"/>
  <c r="G83" i="9"/>
  <c r="G82" i="9" s="1"/>
  <c r="F83" i="9"/>
  <c r="F86" i="9"/>
  <c r="E86" i="9" s="1"/>
  <c r="G130" i="9"/>
  <c r="F97" i="9"/>
  <c r="F92" i="9"/>
  <c r="G53" i="9"/>
  <c r="G51" i="9" s="1"/>
  <c r="O41" i="9"/>
  <c r="O42" i="9"/>
  <c r="O43" i="9"/>
  <c r="O44" i="9"/>
  <c r="O45" i="9"/>
  <c r="O46" i="9"/>
  <c r="O47" i="9"/>
  <c r="O48" i="9"/>
  <c r="O49" i="9"/>
  <c r="O50" i="9"/>
  <c r="O40" i="9"/>
  <c r="N41" i="9"/>
  <c r="N42" i="9"/>
  <c r="N43" i="9"/>
  <c r="N44" i="9"/>
  <c r="N45" i="9"/>
  <c r="N46" i="9"/>
  <c r="N47" i="9"/>
  <c r="N48" i="9"/>
  <c r="N49" i="9"/>
  <c r="N50" i="9"/>
  <c r="N40" i="9"/>
  <c r="O38" i="9"/>
  <c r="M37" i="9"/>
  <c r="M34" i="9" s="1"/>
  <c r="M32" i="9" s="1"/>
  <c r="F37" i="9"/>
  <c r="N38" i="9"/>
  <c r="O29" i="9"/>
  <c r="O30" i="9"/>
  <c r="N29" i="9"/>
  <c r="N30" i="9"/>
  <c r="N28" i="9"/>
  <c r="O27" i="9"/>
  <c r="O28" i="9"/>
  <c r="N27" i="9"/>
  <c r="M26" i="9"/>
  <c r="G39" i="9"/>
  <c r="G37" i="9" s="1"/>
  <c r="E65" i="9" l="1"/>
  <c r="O65" i="9" s="1"/>
  <c r="F91" i="9"/>
  <c r="F82" i="9"/>
  <c r="E76" i="9"/>
  <c r="F75" i="9"/>
  <c r="E75" i="9" s="1"/>
  <c r="F90" i="9"/>
  <c r="E83" i="9"/>
  <c r="F74" i="9"/>
  <c r="E74" i="9" s="1"/>
  <c r="E51" i="9"/>
  <c r="E80" i="9"/>
  <c r="O67" i="9"/>
  <c r="N67" i="9"/>
  <c r="N65" i="9" s="1"/>
  <c r="G34" i="9"/>
  <c r="G32" i="9" s="1"/>
  <c r="G35" i="9"/>
  <c r="E37" i="9"/>
  <c r="O37" i="9" s="1"/>
  <c r="F35" i="9"/>
  <c r="E35" i="9" s="1"/>
  <c r="F34" i="9"/>
  <c r="F32" i="9" s="1"/>
  <c r="N26" i="9"/>
  <c r="K83" i="2"/>
  <c r="G33" i="9" l="1"/>
  <c r="G31" i="9" s="1"/>
  <c r="N37" i="9"/>
  <c r="E32" i="9"/>
  <c r="O32" i="9" s="1"/>
  <c r="F70" i="9" l="1"/>
  <c r="F72" i="9"/>
  <c r="O73" i="9"/>
  <c r="N73" i="9"/>
  <c r="O71" i="9"/>
  <c r="N71" i="9"/>
  <c r="N70" i="9" s="1"/>
  <c r="F69" i="9" l="1"/>
  <c r="E69" i="9" s="1"/>
  <c r="L152" i="2"/>
  <c r="M152" i="2"/>
  <c r="M151" i="2"/>
  <c r="L151" i="2"/>
  <c r="C152" i="2"/>
  <c r="C151" i="2"/>
  <c r="K60" i="2"/>
  <c r="H55" i="4" l="1"/>
  <c r="G55" i="4"/>
  <c r="C55" i="4"/>
  <c r="F59" i="4" l="1"/>
  <c r="C66" i="4"/>
  <c r="H66" i="4" s="1"/>
  <c r="G66" i="4"/>
  <c r="K15" i="3" l="1"/>
  <c r="M184" i="9"/>
  <c r="M182" i="9"/>
  <c r="M180" i="9"/>
  <c r="M174" i="9"/>
  <c r="M154" i="9"/>
  <c r="M150" i="9"/>
  <c r="M149" i="9" s="1"/>
  <c r="M147" i="9"/>
  <c r="M133" i="9"/>
  <c r="M130" i="9"/>
  <c r="M99" i="9"/>
  <c r="M94" i="9"/>
  <c r="M86" i="9"/>
  <c r="O86" i="9" s="1"/>
  <c r="M83" i="9"/>
  <c r="O83" i="9" s="1"/>
  <c r="M80" i="9"/>
  <c r="O80" i="9" s="1"/>
  <c r="M76" i="9"/>
  <c r="M72" i="9"/>
  <c r="M70" i="9"/>
  <c r="M53" i="9"/>
  <c r="M39" i="9"/>
  <c r="M11" i="9"/>
  <c r="M62" i="2"/>
  <c r="K120" i="2"/>
  <c r="R12" i="9" l="1"/>
  <c r="M173" i="9"/>
  <c r="M75" i="9"/>
  <c r="O76" i="9"/>
  <c r="M92" i="9"/>
  <c r="M132" i="9"/>
  <c r="M51" i="9"/>
  <c r="N53" i="9"/>
  <c r="O53" i="9"/>
  <c r="M35" i="9"/>
  <c r="O39" i="9"/>
  <c r="N39" i="9"/>
  <c r="M146" i="9"/>
  <c r="M82" i="9"/>
  <c r="M69" i="9"/>
  <c r="M10" i="9"/>
  <c r="G99" i="9"/>
  <c r="G97" i="9" s="1"/>
  <c r="E97" i="9" s="1"/>
  <c r="G94" i="9"/>
  <c r="G92" i="9" s="1"/>
  <c r="O94" i="9" l="1"/>
  <c r="G91" i="9"/>
  <c r="E92" i="9"/>
  <c r="O92" i="9" s="1"/>
  <c r="M9" i="9"/>
  <c r="M74" i="9"/>
  <c r="O74" i="9" s="1"/>
  <c r="O75" i="9"/>
  <c r="O99" i="9"/>
  <c r="N51" i="9"/>
  <c r="O51" i="9"/>
  <c r="M33" i="9"/>
  <c r="M31" i="9" s="1"/>
  <c r="G90" i="9" l="1"/>
  <c r="E91" i="9"/>
  <c r="F70" i="4"/>
  <c r="K12" i="3"/>
  <c r="G89" i="9" l="1"/>
  <c r="E90" i="9"/>
  <c r="F51" i="4"/>
  <c r="K43" i="3"/>
  <c r="K153" i="2"/>
  <c r="F130" i="9" l="1"/>
  <c r="G150" i="9"/>
  <c r="G149" i="9" s="1"/>
  <c r="G146" i="9" s="1"/>
  <c r="F89" i="9" l="1"/>
  <c r="O130" i="9"/>
  <c r="F53" i="4"/>
  <c r="F174" i="9"/>
  <c r="G180" i="9"/>
  <c r="O180" i="9" s="1"/>
  <c r="G182" i="9"/>
  <c r="O182" i="9" s="1"/>
  <c r="G184" i="9"/>
  <c r="G188" i="9"/>
  <c r="G190" i="9"/>
  <c r="G194" i="9"/>
  <c r="G197" i="9"/>
  <c r="F207" i="9"/>
  <c r="F206" i="9" s="1"/>
  <c r="F205" i="9" s="1"/>
  <c r="F203" i="9"/>
  <c r="F200" i="9" s="1"/>
  <c r="F173" i="9" l="1"/>
  <c r="O174" i="9"/>
  <c r="G177" i="9"/>
  <c r="G176" i="9" s="1"/>
  <c r="G153" i="9" s="1"/>
  <c r="F153" i="9" l="1"/>
  <c r="F145" i="9" s="1"/>
  <c r="O173" i="9"/>
  <c r="M97" i="9"/>
  <c r="O97" i="9" l="1"/>
  <c r="M91" i="9"/>
  <c r="E184" i="9"/>
  <c r="O184" i="9" s="1"/>
  <c r="E207" i="9"/>
  <c r="E206" i="9" s="1"/>
  <c r="E205" i="9" s="1"/>
  <c r="E203" i="9"/>
  <c r="E197" i="9"/>
  <c r="E194" i="9"/>
  <c r="E190" i="9"/>
  <c r="E188" i="9"/>
  <c r="E182" i="9"/>
  <c r="E180" i="9"/>
  <c r="E174" i="9"/>
  <c r="E173" i="9" s="1"/>
  <c r="E147" i="9"/>
  <c r="M90" i="9" l="1"/>
  <c r="O91" i="9"/>
  <c r="M89" i="9" l="1"/>
  <c r="O90" i="9"/>
  <c r="M8" i="9" l="1"/>
  <c r="E152" i="9"/>
  <c r="E71" i="9"/>
  <c r="E73" i="9"/>
  <c r="F33" i="9"/>
  <c r="E33" i="9" s="1"/>
  <c r="G201" i="9"/>
  <c r="G200" i="9" s="1"/>
  <c r="G145" i="9" s="1"/>
  <c r="E145" i="9" s="1"/>
  <c r="E202" i="9"/>
  <c r="E201" i="9" s="1"/>
  <c r="E200" i="9" s="1"/>
  <c r="E179" i="9"/>
  <c r="E178" i="9"/>
  <c r="E34" i="9" l="1"/>
  <c r="N35" i="9"/>
  <c r="N33" i="9" s="1"/>
  <c r="N31" i="9" s="1"/>
  <c r="O35" i="9"/>
  <c r="F31" i="9"/>
  <c r="F8" i="9" s="1"/>
  <c r="O33" i="9"/>
  <c r="E177" i="9"/>
  <c r="E176" i="9" s="1"/>
  <c r="E153" i="9" s="1"/>
  <c r="H54" i="4"/>
  <c r="G54" i="4"/>
  <c r="C54" i="4"/>
  <c r="F7" i="9" l="1"/>
  <c r="F210" i="9"/>
  <c r="N34" i="9"/>
  <c r="N32" i="9" s="1"/>
  <c r="O34" i="9"/>
  <c r="G65" i="4"/>
  <c r="C65" i="4"/>
  <c r="H65" i="4" s="1"/>
  <c r="F48" i="4" l="1"/>
  <c r="K91" i="2"/>
  <c r="K94" i="2"/>
  <c r="F49" i="4" l="1"/>
  <c r="F40" i="4"/>
  <c r="K145" i="2" l="1"/>
  <c r="K125" i="2" l="1"/>
  <c r="K124" i="2" l="1"/>
  <c r="F19" i="4" l="1"/>
  <c r="F17" i="4"/>
  <c r="H53" i="4" l="1"/>
  <c r="G53" i="4"/>
  <c r="C53" i="4"/>
  <c r="G49" i="4"/>
  <c r="H51" i="4"/>
  <c r="H52" i="4"/>
  <c r="H50" i="4"/>
  <c r="C52" i="4"/>
  <c r="G52" i="4"/>
  <c r="K42" i="3" l="1"/>
  <c r="G7" i="7" l="1"/>
  <c r="I13" i="7"/>
  <c r="H13" i="7"/>
  <c r="G14" i="7"/>
  <c r="K25" i="3" l="1"/>
  <c r="L57" i="2"/>
  <c r="F58" i="4"/>
  <c r="K81" i="2"/>
  <c r="H10" i="7"/>
  <c r="I10" i="7"/>
  <c r="H9" i="7" l="1"/>
  <c r="G51" i="4" l="1"/>
  <c r="C51" i="4"/>
  <c r="I155" i="2" l="1"/>
  <c r="F18" i="4" l="1"/>
  <c r="K146" i="2" l="1"/>
  <c r="K108" i="2" l="1"/>
  <c r="P6" i="2" l="1"/>
  <c r="O7" i="2" l="1"/>
  <c r="E62" i="2"/>
  <c r="E52" i="2"/>
  <c r="E30" i="2"/>
  <c r="E29" i="2"/>
  <c r="E28" i="2"/>
  <c r="J62" i="2"/>
  <c r="G50" i="4" l="1"/>
  <c r="R6" i="2" l="1"/>
  <c r="K156" i="2"/>
  <c r="K129" i="2" l="1"/>
  <c r="M165" i="2" l="1"/>
  <c r="L165" i="2"/>
  <c r="M161" i="2"/>
  <c r="L161" i="2"/>
  <c r="M160" i="2"/>
  <c r="L160" i="2"/>
  <c r="M162" i="2"/>
  <c r="L162" i="2"/>
  <c r="K159" i="2"/>
  <c r="K155" i="2" s="1"/>
  <c r="Q172" i="2" l="1"/>
  <c r="E159" i="2"/>
  <c r="E155" i="2" s="1"/>
  <c r="K112" i="2" l="1"/>
  <c r="K139" i="2" l="1"/>
  <c r="K92" i="2"/>
  <c r="F28" i="4" l="1"/>
  <c r="F76" i="4" l="1"/>
  <c r="F43" i="4"/>
  <c r="F42" i="4" s="1"/>
  <c r="F23" i="4"/>
  <c r="E151" i="9"/>
  <c r="E150" i="9" s="1"/>
  <c r="E149" i="9" s="1"/>
  <c r="E146" i="9" s="1"/>
  <c r="C50" i="4"/>
  <c r="G133" i="9" l="1"/>
  <c r="G132" i="9" s="1"/>
  <c r="O132" i="9" s="1"/>
  <c r="E135" i="9"/>
  <c r="E136" i="9"/>
  <c r="O136" i="9" s="1"/>
  <c r="E137" i="9"/>
  <c r="O137" i="9" s="1"/>
  <c r="E138" i="9"/>
  <c r="O138" i="9" s="1"/>
  <c r="E139" i="9"/>
  <c r="O139" i="9" s="1"/>
  <c r="E140" i="9"/>
  <c r="O140" i="9" s="1"/>
  <c r="E141" i="9"/>
  <c r="O141" i="9" s="1"/>
  <c r="E142" i="9"/>
  <c r="O142" i="9" s="1"/>
  <c r="E143" i="9"/>
  <c r="O143" i="9" s="1"/>
  <c r="E144" i="9"/>
  <c r="O144" i="9" s="1"/>
  <c r="E134" i="9"/>
  <c r="E28" i="9"/>
  <c r="E29" i="9"/>
  <c r="E30" i="9"/>
  <c r="E27" i="9"/>
  <c r="G26" i="9"/>
  <c r="O26" i="9" s="1"/>
  <c r="G11" i="9"/>
  <c r="E20" i="9"/>
  <c r="E21" i="9"/>
  <c r="E22" i="9"/>
  <c r="E23" i="9"/>
  <c r="E24" i="9"/>
  <c r="E25" i="9"/>
  <c r="E19" i="9"/>
  <c r="E13" i="9"/>
  <c r="E14" i="9"/>
  <c r="E15" i="9"/>
  <c r="E16" i="9"/>
  <c r="E17" i="9"/>
  <c r="E18" i="9"/>
  <c r="E12" i="9"/>
  <c r="E130" i="9"/>
  <c r="E89" i="9" s="1"/>
  <c r="O89" i="9" s="1"/>
  <c r="E72" i="9"/>
  <c r="E70" i="9"/>
  <c r="O70" i="9" s="1"/>
  <c r="E31" i="9"/>
  <c r="E133" i="9" l="1"/>
  <c r="O133" i="9" s="1"/>
  <c r="N134" i="9"/>
  <c r="O134" i="9"/>
  <c r="O135" i="9"/>
  <c r="N135" i="9"/>
  <c r="O31" i="9"/>
  <c r="O72" i="9"/>
  <c r="N72" i="9"/>
  <c r="N69" i="9" s="1"/>
  <c r="G10" i="9"/>
  <c r="O69" i="9"/>
  <c r="E82" i="9"/>
  <c r="O82" i="9" s="1"/>
  <c r="E11" i="9"/>
  <c r="O11" i="9" s="1"/>
  <c r="E26" i="9"/>
  <c r="E36" i="2"/>
  <c r="G9" i="9" l="1"/>
  <c r="G8" i="9" s="1"/>
  <c r="G210" i="9" s="1"/>
  <c r="N10" i="9"/>
  <c r="E132" i="9"/>
  <c r="N133" i="9"/>
  <c r="N132" i="9" s="1"/>
  <c r="G7" i="9"/>
  <c r="E10" i="9"/>
  <c r="D155" i="2"/>
  <c r="E9" i="9" l="1"/>
  <c r="O10" i="9"/>
  <c r="J36" i="2"/>
  <c r="L36" i="2"/>
  <c r="E8" i="9" l="1"/>
  <c r="N9" i="9"/>
  <c r="O9" i="9"/>
  <c r="E50" i="8"/>
  <c r="C50" i="8" s="1"/>
  <c r="E48" i="8"/>
  <c r="D48" i="8"/>
  <c r="D47" i="8" s="1"/>
  <c r="E42" i="8"/>
  <c r="E41" i="8" s="1"/>
  <c r="E39" i="8"/>
  <c r="D39" i="8"/>
  <c r="C39" i="8" s="1"/>
  <c r="D38" i="8"/>
  <c r="E36" i="8"/>
  <c r="D36" i="8"/>
  <c r="E34" i="8"/>
  <c r="D34" i="8"/>
  <c r="C34" i="8" s="1"/>
  <c r="C33" i="8"/>
  <c r="C32" i="8"/>
  <c r="D30" i="8"/>
  <c r="E28" i="8"/>
  <c r="D28" i="8"/>
  <c r="C27" i="8"/>
  <c r="C26" i="8"/>
  <c r="C25" i="8"/>
  <c r="D23" i="8"/>
  <c r="D21" i="8" s="1"/>
  <c r="E21" i="8"/>
  <c r="D16" i="8"/>
  <c r="E14" i="8"/>
  <c r="E10" i="8" s="1"/>
  <c r="E9" i="8" s="1"/>
  <c r="D14" i="8"/>
  <c r="C159" i="6"/>
  <c r="C158" i="6"/>
  <c r="C157" i="6"/>
  <c r="C156" i="6"/>
  <c r="C155" i="6"/>
  <c r="C154" i="6"/>
  <c r="E153" i="6"/>
  <c r="D153" i="6"/>
  <c r="C151" i="6"/>
  <c r="C150" i="6"/>
  <c r="C149" i="6"/>
  <c r="C148" i="6"/>
  <c r="C147" i="6"/>
  <c r="C146" i="6"/>
  <c r="C145" i="6"/>
  <c r="C144" i="6"/>
  <c r="C143" i="6"/>
  <c r="D142" i="6"/>
  <c r="C142" i="6" s="1"/>
  <c r="C141" i="6" s="1"/>
  <c r="E141" i="6"/>
  <c r="E140" i="6" s="1"/>
  <c r="C139" i="6"/>
  <c r="C138" i="6" s="1"/>
  <c r="E138" i="6"/>
  <c r="D138" i="6"/>
  <c r="C137" i="6"/>
  <c r="C136" i="6" s="1"/>
  <c r="E136" i="6"/>
  <c r="D136" i="6"/>
  <c r="C135" i="6"/>
  <c r="E133" i="6"/>
  <c r="E132" i="6" s="1"/>
  <c r="D133" i="6"/>
  <c r="C133" i="6" s="1"/>
  <c r="C129" i="6"/>
  <c r="C128" i="6"/>
  <c r="E127" i="6"/>
  <c r="D127" i="6"/>
  <c r="C122" i="6"/>
  <c r="C121" i="6"/>
  <c r="C120" i="6"/>
  <c r="C119" i="6"/>
  <c r="C118" i="6"/>
  <c r="E117" i="6"/>
  <c r="E116" i="6" s="1"/>
  <c r="E115" i="6" s="1"/>
  <c r="D117" i="6"/>
  <c r="E114" i="6"/>
  <c r="D113" i="6"/>
  <c r="C112" i="6"/>
  <c r="E111" i="6"/>
  <c r="D110" i="6"/>
  <c r="C108" i="6"/>
  <c r="C107" i="6" s="1"/>
  <c r="C106" i="6" s="1"/>
  <c r="E107" i="6"/>
  <c r="E106" i="6" s="1"/>
  <c r="D107" i="6"/>
  <c r="D106" i="6" s="1"/>
  <c r="E105" i="6"/>
  <c r="E103" i="6" s="1"/>
  <c r="C103" i="6" s="1"/>
  <c r="E104" i="6"/>
  <c r="C104" i="6" s="1"/>
  <c r="D103" i="6"/>
  <c r="E102" i="6"/>
  <c r="E101" i="6"/>
  <c r="E100" i="6"/>
  <c r="E99" i="6"/>
  <c r="C99" i="6" s="1"/>
  <c r="E98" i="6"/>
  <c r="C98" i="6" s="1"/>
  <c r="D97" i="6"/>
  <c r="D96" i="6" s="1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D82" i="6"/>
  <c r="C82" i="6" s="1"/>
  <c r="C81" i="6"/>
  <c r="C80" i="6" s="1"/>
  <c r="D80" i="6"/>
  <c r="C78" i="6"/>
  <c r="C77" i="6"/>
  <c r="C76" i="6"/>
  <c r="E75" i="6"/>
  <c r="D75" i="6"/>
  <c r="C75" i="6" s="1"/>
  <c r="C74" i="6"/>
  <c r="C73" i="6"/>
  <c r="C72" i="6"/>
  <c r="C71" i="6"/>
  <c r="E70" i="6"/>
  <c r="C70" i="6" s="1"/>
  <c r="C69" i="6"/>
  <c r="D68" i="6"/>
  <c r="C67" i="6"/>
  <c r="C66" i="6"/>
  <c r="E65" i="6"/>
  <c r="C65" i="6" s="1"/>
  <c r="C64" i="6"/>
  <c r="C62" i="6"/>
  <c r="E61" i="6"/>
  <c r="E59" i="6" s="1"/>
  <c r="C60" i="6"/>
  <c r="D59" i="6"/>
  <c r="C57" i="6"/>
  <c r="E56" i="6"/>
  <c r="C56" i="6" s="1"/>
  <c r="C55" i="6"/>
  <c r="D54" i="6"/>
  <c r="C53" i="6"/>
  <c r="C52" i="6"/>
  <c r="E51" i="6"/>
  <c r="C51" i="6" s="1"/>
  <c r="C50" i="6"/>
  <c r="C48" i="6"/>
  <c r="D47" i="6"/>
  <c r="C46" i="6"/>
  <c r="C45" i="6"/>
  <c r="E44" i="6"/>
  <c r="C43" i="6"/>
  <c r="D42" i="6"/>
  <c r="E39" i="6"/>
  <c r="C39" i="6" s="1"/>
  <c r="E38" i="6"/>
  <c r="E37" i="6"/>
  <c r="C37" i="6" s="1"/>
  <c r="E36" i="6"/>
  <c r="E35" i="6"/>
  <c r="C35" i="6" s="1"/>
  <c r="D34" i="6"/>
  <c r="C33" i="6"/>
  <c r="C32" i="6"/>
  <c r="E31" i="6"/>
  <c r="C31" i="6" s="1"/>
  <c r="C30" i="6"/>
  <c r="C29" i="6"/>
  <c r="C28" i="6"/>
  <c r="C27" i="6"/>
  <c r="E26" i="6"/>
  <c r="E25" i="6"/>
  <c r="C25" i="6"/>
  <c r="E24" i="6"/>
  <c r="E23" i="6"/>
  <c r="C23" i="6" s="1"/>
  <c r="C22" i="6"/>
  <c r="C21" i="6"/>
  <c r="C20" i="6"/>
  <c r="C19" i="6"/>
  <c r="E18" i="6"/>
  <c r="E17" i="6"/>
  <c r="C17" i="6" s="1"/>
  <c r="E16" i="6"/>
  <c r="E15" i="6"/>
  <c r="C15" i="6" s="1"/>
  <c r="E14" i="6"/>
  <c r="E13" i="6"/>
  <c r="E12" i="6"/>
  <c r="C12" i="6" s="1"/>
  <c r="E11" i="6"/>
  <c r="D10" i="6"/>
  <c r="D79" i="6" l="1"/>
  <c r="C79" i="6" s="1"/>
  <c r="D41" i="6"/>
  <c r="D132" i="6"/>
  <c r="D131" i="6" s="1"/>
  <c r="D130" i="6" s="1"/>
  <c r="D141" i="6"/>
  <c r="D140" i="6" s="1"/>
  <c r="C14" i="8"/>
  <c r="C28" i="8"/>
  <c r="E38" i="8"/>
  <c r="N8" i="9"/>
  <c r="E210" i="9"/>
  <c r="E7" i="9"/>
  <c r="O8" i="9"/>
  <c r="D40" i="6"/>
  <c r="C59" i="6"/>
  <c r="D9" i="6"/>
  <c r="E10" i="6"/>
  <c r="C10" i="6" s="1"/>
  <c r="E34" i="6"/>
  <c r="C34" i="6" s="1"/>
  <c r="D58" i="6"/>
  <c r="D109" i="6"/>
  <c r="C117" i="6"/>
  <c r="E8" i="8"/>
  <c r="E52" i="8" s="1"/>
  <c r="E47" i="8"/>
  <c r="C21" i="8"/>
  <c r="D10" i="8"/>
  <c r="D9" i="8" s="1"/>
  <c r="D8" i="8" s="1"/>
  <c r="C10" i="8"/>
  <c r="C9" i="8" s="1"/>
  <c r="C36" i="8"/>
  <c r="C41" i="8"/>
  <c r="C38" i="8" s="1"/>
  <c r="C48" i="8"/>
  <c r="C47" i="8" s="1"/>
  <c r="E131" i="6"/>
  <c r="E130" i="6" s="1"/>
  <c r="C153" i="6"/>
  <c r="E49" i="6"/>
  <c r="E54" i="6"/>
  <c r="C54" i="6" s="1"/>
  <c r="E63" i="6"/>
  <c r="C63" i="6" s="1"/>
  <c r="D116" i="6"/>
  <c r="D115" i="6" s="1"/>
  <c r="C11" i="6"/>
  <c r="C13" i="6"/>
  <c r="C14" i="6"/>
  <c r="C16" i="6"/>
  <c r="C18" i="6"/>
  <c r="C24" i="6"/>
  <c r="C26" i="6"/>
  <c r="C36" i="6"/>
  <c r="C38" i="6"/>
  <c r="E42" i="6"/>
  <c r="C44" i="6"/>
  <c r="E68" i="6"/>
  <c r="C68" i="6" s="1"/>
  <c r="E97" i="6"/>
  <c r="C100" i="6"/>
  <c r="C101" i="6"/>
  <c r="C102" i="6"/>
  <c r="C105" i="6"/>
  <c r="C111" i="6"/>
  <c r="E110" i="6"/>
  <c r="C114" i="6"/>
  <c r="C113" i="6" s="1"/>
  <c r="E113" i="6"/>
  <c r="C132" i="6"/>
  <c r="C131" i="6" s="1"/>
  <c r="C130" i="6" s="1"/>
  <c r="C140" i="6"/>
  <c r="C127" i="6"/>
  <c r="C116" i="6" s="1"/>
  <c r="C115" i="6" s="1"/>
  <c r="J19" i="2"/>
  <c r="J20" i="2"/>
  <c r="J21" i="2"/>
  <c r="J22" i="2"/>
  <c r="J27" i="2"/>
  <c r="J59" i="2"/>
  <c r="D8" i="6" l="1"/>
  <c r="D162" i="6" s="1"/>
  <c r="E7" i="8"/>
  <c r="E9" i="6"/>
  <c r="D52" i="8"/>
  <c r="D7" i="8"/>
  <c r="C7" i="8" s="1"/>
  <c r="C8" i="8"/>
  <c r="C52" i="8" s="1"/>
  <c r="D7" i="6"/>
  <c r="E109" i="6"/>
  <c r="C42" i="6"/>
  <c r="C49" i="6"/>
  <c r="E47" i="6"/>
  <c r="C47" i="6" s="1"/>
  <c r="C9" i="6"/>
  <c r="E58" i="6"/>
  <c r="C58" i="6" s="1"/>
  <c r="C110" i="6"/>
  <c r="C97" i="6"/>
  <c r="E96" i="6"/>
  <c r="E41" i="6" l="1"/>
  <c r="C96" i="6"/>
  <c r="C109" i="6"/>
  <c r="C41" i="6" l="1"/>
  <c r="E40" i="6"/>
  <c r="C40" i="6" l="1"/>
  <c r="C8" i="6" s="1"/>
  <c r="C162" i="6" s="1"/>
  <c r="E8" i="6"/>
  <c r="E7" i="6" l="1"/>
  <c r="E162" i="6"/>
  <c r="C49" i="4"/>
  <c r="H49" i="4" s="1"/>
  <c r="C7" i="6" l="1"/>
  <c r="H11" i="7" l="1"/>
  <c r="H12" i="7"/>
  <c r="H8" i="7"/>
  <c r="I8" i="7"/>
  <c r="F14" i="7"/>
  <c r="I11" i="7"/>
  <c r="C14" i="7"/>
  <c r="H14" i="7" l="1"/>
  <c r="H7" i="7"/>
  <c r="M164" i="2"/>
  <c r="M163" i="2"/>
  <c r="M158" i="2"/>
  <c r="L164" i="2"/>
  <c r="L163" i="2"/>
  <c r="L158" i="2"/>
  <c r="F32" i="4" l="1"/>
  <c r="I133" i="2" l="1"/>
  <c r="M60" i="2" l="1"/>
  <c r="L60" i="2"/>
  <c r="M48" i="2"/>
  <c r="E114" i="2" l="1"/>
  <c r="E111" i="2"/>
  <c r="E105" i="2"/>
  <c r="E104" i="2"/>
  <c r="E102" i="2"/>
  <c r="E101" i="2"/>
  <c r="E100" i="2"/>
  <c r="E99" i="2"/>
  <c r="E98" i="2"/>
  <c r="E51" i="2"/>
  <c r="E39" i="2"/>
  <c r="E38" i="2"/>
  <c r="E37" i="2"/>
  <c r="E35" i="2"/>
  <c r="E26" i="2"/>
  <c r="E25" i="2"/>
  <c r="E24" i="2"/>
  <c r="E23" i="2"/>
  <c r="E18" i="2"/>
  <c r="E17" i="2"/>
  <c r="E16" i="2"/>
  <c r="E15" i="2"/>
  <c r="E14" i="2"/>
  <c r="E13" i="2"/>
  <c r="E12" i="2"/>
  <c r="E11" i="2"/>
  <c r="C159" i="2"/>
  <c r="C163" i="2"/>
  <c r="J163" i="2" s="1"/>
  <c r="C164" i="2"/>
  <c r="J164" i="2" s="1"/>
  <c r="C158" i="2"/>
  <c r="J155" i="2" l="1"/>
  <c r="C155" i="2"/>
  <c r="M159" i="2"/>
  <c r="L159" i="2"/>
  <c r="F57" i="4"/>
  <c r="D57" i="4"/>
  <c r="D56" i="4" s="1"/>
  <c r="L61" i="2" l="1"/>
  <c r="L59" i="2" s="1"/>
  <c r="K61" i="2"/>
  <c r="K59" i="2" s="1"/>
  <c r="E61" i="2"/>
  <c r="E59" i="2" s="1"/>
  <c r="K44" i="2"/>
  <c r="E44" i="2"/>
  <c r="K76" i="2" l="1"/>
  <c r="F9" i="4"/>
  <c r="C157" i="2" l="1"/>
  <c r="M157" i="2" l="1"/>
  <c r="L157" i="2"/>
  <c r="L155" i="2" s="1"/>
  <c r="C156" i="2"/>
  <c r="C57" i="4" l="1"/>
  <c r="C56" i="4" s="1"/>
  <c r="G64" i="4"/>
  <c r="C64" i="4"/>
  <c r="H64" i="4" s="1"/>
  <c r="G63" i="4"/>
  <c r="C63" i="4"/>
  <c r="H63" i="4" s="1"/>
  <c r="C62" i="4"/>
  <c r="H62" i="4" s="1"/>
  <c r="G62" i="4"/>
  <c r="G61" i="4"/>
  <c r="C61" i="4"/>
  <c r="H61" i="4" s="1"/>
  <c r="C48" i="4"/>
  <c r="H48" i="4" s="1"/>
  <c r="G48" i="4"/>
  <c r="G47" i="4"/>
  <c r="C47" i="4"/>
  <c r="H47" i="4" s="1"/>
  <c r="C46" i="4"/>
  <c r="H46" i="4" s="1"/>
  <c r="G46" i="4"/>
  <c r="G45" i="4"/>
  <c r="C45" i="4"/>
  <c r="H45" i="4" s="1"/>
  <c r="M49" i="3" l="1"/>
  <c r="L49" i="3"/>
  <c r="M40" i="3"/>
  <c r="L40" i="3"/>
  <c r="M37" i="3"/>
  <c r="L37" i="3"/>
  <c r="M35" i="3"/>
  <c r="L35" i="3"/>
  <c r="M20" i="3"/>
  <c r="M18" i="3"/>
  <c r="M19" i="3"/>
  <c r="M17" i="3"/>
  <c r="L18" i="3"/>
  <c r="L51" i="2"/>
  <c r="L39" i="2"/>
  <c r="L38" i="2"/>
  <c r="L37" i="2"/>
  <c r="L35" i="2"/>
  <c r="L33" i="2"/>
  <c r="L26" i="2"/>
  <c r="L24" i="2"/>
  <c r="L23" i="2"/>
  <c r="L18" i="2"/>
  <c r="L16" i="2"/>
  <c r="L15" i="2"/>
  <c r="L12" i="2"/>
  <c r="L11" i="2"/>
  <c r="L34" i="2" l="1"/>
  <c r="M69" i="2"/>
  <c r="L69" i="2"/>
  <c r="M71" i="2" l="1"/>
  <c r="M67" i="2"/>
  <c r="J67" i="2"/>
  <c r="J66" i="2"/>
  <c r="L65" i="2"/>
  <c r="M57" i="2"/>
  <c r="M50" i="2"/>
  <c r="M51" i="2"/>
  <c r="M45" i="2"/>
  <c r="M46" i="2"/>
  <c r="J31" i="3" l="1"/>
  <c r="K86" i="2" l="1"/>
  <c r="K93" i="2"/>
  <c r="L113" i="2" l="1"/>
  <c r="L103" i="2"/>
  <c r="J111" i="2"/>
  <c r="L31" i="2"/>
  <c r="C46" i="2" l="1"/>
  <c r="C45" i="2"/>
  <c r="C51" i="2"/>
  <c r="C52" i="2"/>
  <c r="C53" i="2"/>
  <c r="C50" i="2"/>
  <c r="C57" i="2"/>
  <c r="C67" i="2"/>
  <c r="C66" i="2"/>
  <c r="C73" i="2"/>
  <c r="C72" i="2"/>
  <c r="C71" i="2"/>
  <c r="C105" i="2"/>
  <c r="C104" i="2"/>
  <c r="C99" i="2"/>
  <c r="C100" i="2"/>
  <c r="C101" i="2"/>
  <c r="C102" i="2"/>
  <c r="C98" i="2"/>
  <c r="C84" i="2"/>
  <c r="C85" i="2"/>
  <c r="C86" i="2"/>
  <c r="C87" i="2"/>
  <c r="C88" i="2"/>
  <c r="C89" i="2"/>
  <c r="C90" i="2"/>
  <c r="C91" i="2"/>
  <c r="C92" i="2"/>
  <c r="C93" i="2"/>
  <c r="C94" i="2"/>
  <c r="C95" i="2"/>
  <c r="C83" i="2"/>
  <c r="C69" i="2"/>
  <c r="C64" i="2"/>
  <c r="C62" i="2"/>
  <c r="C60" i="2"/>
  <c r="C55" i="2"/>
  <c r="C44" i="2"/>
  <c r="C43" i="2"/>
  <c r="C48" i="2"/>
  <c r="C36" i="2"/>
  <c r="C37" i="2"/>
  <c r="C38" i="2"/>
  <c r="C39" i="2"/>
  <c r="C35" i="2"/>
  <c r="C33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12" i="2"/>
  <c r="C13" i="2"/>
  <c r="C14" i="2"/>
  <c r="C15" i="2"/>
  <c r="C16" i="2"/>
  <c r="C11" i="2"/>
  <c r="J60" i="3" l="1"/>
  <c r="C60" i="4" l="1"/>
  <c r="F56" i="4"/>
  <c r="H56" i="4" l="1"/>
  <c r="G56" i="4"/>
  <c r="I49" i="2" l="1"/>
  <c r="I47" i="2" s="1"/>
  <c r="I44" i="2"/>
  <c r="I42" i="2" s="1"/>
  <c r="J46" i="2"/>
  <c r="J45" i="2"/>
  <c r="J53" i="2"/>
  <c r="J44" i="2" l="1"/>
  <c r="J42" i="2" s="1"/>
  <c r="K56" i="2"/>
  <c r="J57" i="2"/>
  <c r="J56" i="2" s="1"/>
  <c r="J54" i="2" s="1"/>
  <c r="I56" i="2"/>
  <c r="K42" i="2"/>
  <c r="I54" i="2" l="1"/>
  <c r="L56" i="2"/>
  <c r="J50" i="2"/>
  <c r="I39" i="3" l="1"/>
  <c r="I38" i="3"/>
  <c r="I36" i="3"/>
  <c r="J34" i="3"/>
  <c r="I34" i="3"/>
  <c r="J30" i="3"/>
  <c r="J28" i="3" s="1"/>
  <c r="I30" i="3"/>
  <c r="I28" i="3" s="1"/>
  <c r="I23" i="3"/>
  <c r="I21" i="3" s="1"/>
  <c r="J11" i="3"/>
  <c r="I16" i="3"/>
  <c r="I14" i="3" s="1"/>
  <c r="I10" i="3" s="1"/>
  <c r="J35" i="3"/>
  <c r="J20" i="3"/>
  <c r="J18" i="3"/>
  <c r="J19" i="3"/>
  <c r="J17" i="3"/>
  <c r="J40" i="3"/>
  <c r="J39" i="3" s="1"/>
  <c r="J38" i="3" s="1"/>
  <c r="J37" i="3"/>
  <c r="J36" i="3" s="1"/>
  <c r="J24" i="3"/>
  <c r="J23" i="3" s="1"/>
  <c r="J21" i="3" s="1"/>
  <c r="I9" i="3" l="1"/>
  <c r="I8" i="3" s="1"/>
  <c r="J105" i="2" l="1"/>
  <c r="J104" i="2"/>
  <c r="J15" i="2"/>
  <c r="F12" i="4" l="1"/>
  <c r="M64" i="2"/>
  <c r="L64" i="2"/>
  <c r="L63" i="2" s="1"/>
  <c r="M55" i="2" l="1"/>
  <c r="L55" i="2"/>
  <c r="L54" i="2" s="1"/>
  <c r="K54" i="2"/>
  <c r="E56" i="2"/>
  <c r="D54" i="2"/>
  <c r="C56" i="2" l="1"/>
  <c r="M56" i="2"/>
  <c r="E54" i="2"/>
  <c r="M134" i="2"/>
  <c r="L134" i="2"/>
  <c r="K133" i="2"/>
  <c r="D133" i="2"/>
  <c r="K122" i="2" l="1"/>
  <c r="I48" i="3" l="1"/>
  <c r="I47" i="3" s="1"/>
  <c r="J49" i="3"/>
  <c r="J48" i="3" s="1"/>
  <c r="J47" i="3" s="1"/>
  <c r="I52" i="3" l="1"/>
  <c r="I7" i="3"/>
  <c r="J39" i="2"/>
  <c r="J38" i="2"/>
  <c r="J37" i="2"/>
  <c r="J33" i="2"/>
  <c r="J26" i="2"/>
  <c r="J24" i="2"/>
  <c r="J18" i="2"/>
  <c r="J17" i="2"/>
  <c r="J14" i="2"/>
  <c r="J13" i="2"/>
  <c r="I59" i="2"/>
  <c r="D59" i="2"/>
  <c r="D68" i="2" l="1"/>
  <c r="E70" i="2"/>
  <c r="C70" i="2" s="1"/>
  <c r="E65" i="2"/>
  <c r="C65" i="2" s="1"/>
  <c r="J65" i="2"/>
  <c r="J63" i="2" s="1"/>
  <c r="I65" i="2"/>
  <c r="I63" i="2" s="1"/>
  <c r="K65" i="2"/>
  <c r="L72" i="2"/>
  <c r="L73" i="2"/>
  <c r="L71" i="2"/>
  <c r="K70" i="2"/>
  <c r="J70" i="2"/>
  <c r="J68" i="2" s="1"/>
  <c r="I70" i="2"/>
  <c r="I68" i="2" s="1"/>
  <c r="J142" i="2"/>
  <c r="J141" i="2" s="1"/>
  <c r="J140" i="2" s="1"/>
  <c r="I142" i="2"/>
  <c r="I141" i="2"/>
  <c r="I140" i="2" s="1"/>
  <c r="J138" i="2"/>
  <c r="I138" i="2"/>
  <c r="J136" i="2"/>
  <c r="I136" i="2"/>
  <c r="I132" i="2"/>
  <c r="J127" i="2"/>
  <c r="I127" i="2"/>
  <c r="J117" i="2"/>
  <c r="J116" i="2" s="1"/>
  <c r="J115" i="2" s="1"/>
  <c r="I117" i="2"/>
  <c r="I116" i="2" s="1"/>
  <c r="I115" i="2" s="1"/>
  <c r="I113" i="2"/>
  <c r="J110" i="2"/>
  <c r="I110" i="2"/>
  <c r="I109" i="2" s="1"/>
  <c r="J107" i="2"/>
  <c r="I107" i="2"/>
  <c r="J106" i="2"/>
  <c r="I106" i="2"/>
  <c r="J103" i="2"/>
  <c r="I103" i="2"/>
  <c r="I97" i="2"/>
  <c r="J82" i="2"/>
  <c r="I82" i="2"/>
  <c r="J80" i="2"/>
  <c r="I80" i="2"/>
  <c r="J75" i="2"/>
  <c r="I75" i="2"/>
  <c r="I41" i="2"/>
  <c r="J31" i="2"/>
  <c r="I31" i="2"/>
  <c r="I34" i="2"/>
  <c r="I10" i="2"/>
  <c r="J114" i="2"/>
  <c r="J113" i="2" s="1"/>
  <c r="J99" i="2"/>
  <c r="J100" i="2"/>
  <c r="J101" i="2"/>
  <c r="J102" i="2"/>
  <c r="J98" i="2"/>
  <c r="J51" i="2"/>
  <c r="J35" i="2"/>
  <c r="J25" i="2"/>
  <c r="J23" i="2"/>
  <c r="J16" i="2"/>
  <c r="J12" i="2"/>
  <c r="J11" i="2"/>
  <c r="J135" i="2"/>
  <c r="J133" i="2" s="1"/>
  <c r="J132" i="2" s="1"/>
  <c r="I79" i="2" l="1"/>
  <c r="L70" i="2"/>
  <c r="J79" i="2"/>
  <c r="J131" i="2"/>
  <c r="J130" i="2" s="1"/>
  <c r="J34" i="2"/>
  <c r="J49" i="2"/>
  <c r="J47" i="2" s="1"/>
  <c r="J41" i="2" s="1"/>
  <c r="I96" i="2"/>
  <c r="E63" i="2"/>
  <c r="E68" i="2"/>
  <c r="J10" i="2"/>
  <c r="K63" i="2"/>
  <c r="K68" i="2"/>
  <c r="M70" i="2"/>
  <c r="J109" i="2"/>
  <c r="J97" i="2"/>
  <c r="J96" i="2" s="1"/>
  <c r="I131" i="2"/>
  <c r="I130" i="2" s="1"/>
  <c r="J58" i="2"/>
  <c r="I9" i="2"/>
  <c r="I58" i="2"/>
  <c r="I40" i="2" s="1"/>
  <c r="J9" i="2" l="1"/>
  <c r="J40" i="2"/>
  <c r="I8" i="2"/>
  <c r="J8" i="2" l="1"/>
  <c r="J7" i="2" s="1"/>
  <c r="I7" i="2"/>
  <c r="I166" i="2"/>
  <c r="J166" i="2" l="1"/>
  <c r="D6" i="5"/>
  <c r="C6" i="5"/>
  <c r="F5" i="5"/>
  <c r="F6" i="5" s="1"/>
  <c r="E5" i="5"/>
  <c r="E6" i="5" s="1"/>
  <c r="M51" i="3" l="1"/>
  <c r="L51" i="3"/>
  <c r="C44" i="4" l="1"/>
  <c r="G44" i="4" s="1"/>
  <c r="H44" i="4" l="1"/>
  <c r="G18" i="4" l="1"/>
  <c r="G19" i="4"/>
  <c r="G26" i="4"/>
  <c r="G13" i="4" l="1"/>
  <c r="G12" i="4"/>
  <c r="G11" i="4"/>
  <c r="G10" i="4"/>
  <c r="H12" i="4"/>
  <c r="H11" i="4"/>
  <c r="H10" i="4"/>
  <c r="F15" i="4"/>
  <c r="F14" i="4" s="1"/>
  <c r="G16" i="4" l="1"/>
  <c r="L46" i="2"/>
  <c r="L45" i="2"/>
  <c r="M43" i="2"/>
  <c r="L43" i="2"/>
  <c r="M44" i="2"/>
  <c r="D42" i="2"/>
  <c r="L53" i="2"/>
  <c r="L50" i="2"/>
  <c r="L48" i="2"/>
  <c r="K49" i="2"/>
  <c r="K47" i="2" s="1"/>
  <c r="E49" i="2"/>
  <c r="C49" i="2" s="1"/>
  <c r="D47" i="2"/>
  <c r="E47" i="2" l="1"/>
  <c r="L49" i="2"/>
  <c r="L47" i="2" s="1"/>
  <c r="L44" i="2"/>
  <c r="L42" i="2" s="1"/>
  <c r="E42" i="2"/>
  <c r="C42" i="2" s="1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F68" i="4"/>
  <c r="D68" i="4"/>
  <c r="D67" i="4" s="1"/>
  <c r="C68" i="4"/>
  <c r="H60" i="4"/>
  <c r="G60" i="4"/>
  <c r="H59" i="4"/>
  <c r="H57" i="4"/>
  <c r="G57" i="4"/>
  <c r="H41" i="4"/>
  <c r="G41" i="4"/>
  <c r="H40" i="4"/>
  <c r="G40" i="4"/>
  <c r="F39" i="4"/>
  <c r="D39" i="4"/>
  <c r="C39" i="4"/>
  <c r="H38" i="4"/>
  <c r="G38" i="4"/>
  <c r="H37" i="4"/>
  <c r="G37" i="4"/>
  <c r="H36" i="4"/>
  <c r="G36" i="4"/>
  <c r="H35" i="4"/>
  <c r="G35" i="4"/>
  <c r="H34" i="4"/>
  <c r="G34" i="4"/>
  <c r="H33" i="4"/>
  <c r="G33" i="4"/>
  <c r="D32" i="4"/>
  <c r="C32" i="4"/>
  <c r="H31" i="4"/>
  <c r="G31" i="4"/>
  <c r="H30" i="4"/>
  <c r="G30" i="4"/>
  <c r="H29" i="4"/>
  <c r="G29" i="4"/>
  <c r="H28" i="4"/>
  <c r="G28" i="4"/>
  <c r="H27" i="4"/>
  <c r="G27" i="4"/>
  <c r="H26" i="4"/>
  <c r="H25" i="4"/>
  <c r="G25" i="4"/>
  <c r="H24" i="4"/>
  <c r="G24" i="4"/>
  <c r="D23" i="4"/>
  <c r="G23" i="4" s="1"/>
  <c r="C23" i="4"/>
  <c r="H21" i="4"/>
  <c r="G21" i="4"/>
  <c r="F20" i="4"/>
  <c r="D20" i="4"/>
  <c r="C20" i="4"/>
  <c r="H19" i="4"/>
  <c r="H18" i="4"/>
  <c r="H17" i="4"/>
  <c r="G17" i="4"/>
  <c r="D15" i="4"/>
  <c r="D14" i="4" s="1"/>
  <c r="C15" i="4"/>
  <c r="H13" i="4"/>
  <c r="D8" i="4"/>
  <c r="D7" i="4" s="1"/>
  <c r="C8" i="4"/>
  <c r="C7" i="4" s="1"/>
  <c r="G20" i="4" l="1"/>
  <c r="C22" i="4"/>
  <c r="L41" i="2"/>
  <c r="H39" i="4"/>
  <c r="G32" i="4"/>
  <c r="G39" i="4"/>
  <c r="D22" i="4"/>
  <c r="D6" i="4" s="1"/>
  <c r="C6" i="4" s="1"/>
  <c r="H23" i="4"/>
  <c r="G43" i="4"/>
  <c r="F8" i="4"/>
  <c r="G9" i="4"/>
  <c r="H9" i="4"/>
  <c r="G68" i="4"/>
  <c r="G15" i="4"/>
  <c r="H15" i="4"/>
  <c r="H20" i="4"/>
  <c r="H32" i="4"/>
  <c r="H68" i="4"/>
  <c r="C14" i="4"/>
  <c r="H16" i="4"/>
  <c r="G59" i="4"/>
  <c r="C67" i="4"/>
  <c r="F67" i="4"/>
  <c r="C135" i="2"/>
  <c r="M135" i="2" s="1"/>
  <c r="G8" i="4" l="1"/>
  <c r="F7" i="4"/>
  <c r="H8" i="4"/>
  <c r="L135" i="2"/>
  <c r="H67" i="4"/>
  <c r="G14" i="4"/>
  <c r="G67" i="4"/>
  <c r="G42" i="4"/>
  <c r="H42" i="4"/>
  <c r="F22" i="4"/>
  <c r="H14" i="4"/>
  <c r="F6" i="4" l="1"/>
  <c r="H7" i="4"/>
  <c r="G7" i="4"/>
  <c r="H22" i="4"/>
  <c r="G22" i="4"/>
  <c r="G6" i="4" l="1"/>
  <c r="K154" i="2"/>
  <c r="M154" i="2" s="1"/>
  <c r="H6" i="4"/>
  <c r="M105" i="2"/>
  <c r="M104" i="2"/>
  <c r="M100" i="2"/>
  <c r="M101" i="2"/>
  <c r="M102" i="2"/>
  <c r="M98" i="2"/>
  <c r="L102" i="2"/>
  <c r="L97" i="2" s="1"/>
  <c r="L96" i="2" s="1"/>
  <c r="M84" i="2"/>
  <c r="M85" i="2"/>
  <c r="M86" i="2"/>
  <c r="M87" i="2"/>
  <c r="M88" i="2"/>
  <c r="M89" i="2"/>
  <c r="M90" i="2"/>
  <c r="M91" i="2"/>
  <c r="M92" i="2"/>
  <c r="M93" i="2"/>
  <c r="M94" i="2"/>
  <c r="M95" i="2"/>
  <c r="M83" i="2"/>
  <c r="L84" i="2"/>
  <c r="L85" i="2"/>
  <c r="L86" i="2"/>
  <c r="L87" i="2"/>
  <c r="L88" i="2"/>
  <c r="L89" i="2"/>
  <c r="L90" i="2"/>
  <c r="L91" i="2"/>
  <c r="L92" i="2"/>
  <c r="L93" i="2"/>
  <c r="L94" i="2"/>
  <c r="L95" i="2"/>
  <c r="L83" i="2"/>
  <c r="M37" i="2"/>
  <c r="M38" i="2"/>
  <c r="M39" i="2"/>
  <c r="M35" i="2"/>
  <c r="E31" i="2"/>
  <c r="C31" i="2" s="1"/>
  <c r="M33" i="2"/>
  <c r="M12" i="2"/>
  <c r="M15" i="2"/>
  <c r="M16" i="2"/>
  <c r="M18" i="2"/>
  <c r="M19" i="2"/>
  <c r="M21" i="2"/>
  <c r="M23" i="2"/>
  <c r="M24" i="2"/>
  <c r="M26" i="2"/>
  <c r="M27" i="2"/>
  <c r="M11" i="2"/>
  <c r="D142" i="2"/>
  <c r="E141" i="2"/>
  <c r="E140" i="2" s="1"/>
  <c r="D138" i="2"/>
  <c r="E138" i="2"/>
  <c r="D136" i="2"/>
  <c r="E136" i="2"/>
  <c r="D132" i="2"/>
  <c r="D131" i="2" s="1"/>
  <c r="D130" i="2" s="1"/>
  <c r="D127" i="2"/>
  <c r="E127" i="2"/>
  <c r="D117" i="2"/>
  <c r="E117" i="2"/>
  <c r="E116" i="2" s="1"/>
  <c r="E115" i="2" s="1"/>
  <c r="D116" i="2"/>
  <c r="D115" i="2" s="1"/>
  <c r="D113" i="2"/>
  <c r="E113" i="2"/>
  <c r="D110" i="2"/>
  <c r="D109" i="2" s="1"/>
  <c r="E110" i="2"/>
  <c r="D107" i="2"/>
  <c r="E107" i="2"/>
  <c r="E106" i="2" s="1"/>
  <c r="D106" i="2"/>
  <c r="D103" i="2"/>
  <c r="E103" i="2"/>
  <c r="C103" i="2" s="1"/>
  <c r="D97" i="2"/>
  <c r="D96" i="2" s="1"/>
  <c r="E97" i="2"/>
  <c r="C97" i="2" s="1"/>
  <c r="D82" i="2"/>
  <c r="C82" i="2" s="1"/>
  <c r="D80" i="2"/>
  <c r="D75" i="2"/>
  <c r="C75" i="2" s="1"/>
  <c r="E75" i="2"/>
  <c r="D58" i="2"/>
  <c r="E58" i="2"/>
  <c r="D41" i="2"/>
  <c r="E41" i="2"/>
  <c r="D34" i="2"/>
  <c r="E34" i="2"/>
  <c r="C34" i="2" s="1"/>
  <c r="D10" i="2"/>
  <c r="E10" i="2"/>
  <c r="K50" i="3"/>
  <c r="K48" i="3"/>
  <c r="M44" i="3"/>
  <c r="M45" i="3"/>
  <c r="M46" i="3"/>
  <c r="M43" i="3"/>
  <c r="L44" i="3"/>
  <c r="L45" i="3"/>
  <c r="L46" i="3"/>
  <c r="L43" i="3"/>
  <c r="K41" i="3"/>
  <c r="K39" i="3"/>
  <c r="M39" i="3" s="1"/>
  <c r="K36" i="3"/>
  <c r="K34" i="3"/>
  <c r="M33" i="3"/>
  <c r="M32" i="3"/>
  <c r="M29" i="3"/>
  <c r="K30" i="3"/>
  <c r="L29" i="3"/>
  <c r="M22" i="3"/>
  <c r="K23" i="3"/>
  <c r="L22" i="3"/>
  <c r="M15" i="3"/>
  <c r="L15" i="3"/>
  <c r="K16" i="3"/>
  <c r="K11" i="3"/>
  <c r="E48" i="3"/>
  <c r="E39" i="3"/>
  <c r="D39" i="3"/>
  <c r="E34" i="3"/>
  <c r="E36" i="3"/>
  <c r="E50" i="3"/>
  <c r="C50" i="3" s="1"/>
  <c r="D48" i="3"/>
  <c r="D47" i="3" s="1"/>
  <c r="L33" i="3"/>
  <c r="C32" i="3"/>
  <c r="L32" i="3" s="1"/>
  <c r="D36" i="3"/>
  <c r="C36" i="3" s="1"/>
  <c r="D34" i="3"/>
  <c r="C34" i="3" s="1"/>
  <c r="M25" i="3"/>
  <c r="E42" i="3"/>
  <c r="E28" i="3"/>
  <c r="D28" i="3"/>
  <c r="C28" i="3" s="1"/>
  <c r="D30" i="3"/>
  <c r="C27" i="3"/>
  <c r="M27" i="3" s="1"/>
  <c r="C26" i="3"/>
  <c r="M26" i="3" s="1"/>
  <c r="E21" i="3"/>
  <c r="D23" i="3"/>
  <c r="D21" i="3" s="1"/>
  <c r="D16" i="3"/>
  <c r="J16" i="3" s="1"/>
  <c r="J14" i="3" s="1"/>
  <c r="J10" i="3" s="1"/>
  <c r="J9" i="3" s="1"/>
  <c r="J8" i="3" s="1"/>
  <c r="E14" i="3"/>
  <c r="E133" i="2"/>
  <c r="E132" i="2" s="1"/>
  <c r="C153" i="2"/>
  <c r="C150" i="2"/>
  <c r="C149" i="2"/>
  <c r="C148" i="2"/>
  <c r="C147" i="2"/>
  <c r="C146" i="2"/>
  <c r="C145" i="2"/>
  <c r="C144" i="2"/>
  <c r="C143" i="2"/>
  <c r="K142" i="2"/>
  <c r="K141" i="2" s="1"/>
  <c r="C139" i="2"/>
  <c r="K138" i="2"/>
  <c r="C137" i="2"/>
  <c r="K136" i="2"/>
  <c r="C133" i="2"/>
  <c r="K132" i="2"/>
  <c r="C129" i="2"/>
  <c r="C128" i="2"/>
  <c r="K127" i="2"/>
  <c r="C122" i="2"/>
  <c r="C121" i="2"/>
  <c r="C120" i="2"/>
  <c r="C119" i="2"/>
  <c r="C118" i="2"/>
  <c r="K117" i="2"/>
  <c r="C114" i="2"/>
  <c r="K113" i="2"/>
  <c r="C112" i="2"/>
  <c r="C111" i="2"/>
  <c r="K110" i="2"/>
  <c r="C108" i="2"/>
  <c r="K107" i="2"/>
  <c r="K103" i="2"/>
  <c r="K97" i="2"/>
  <c r="K82" i="2"/>
  <c r="C81" i="2"/>
  <c r="K80" i="2"/>
  <c r="C78" i="2"/>
  <c r="M78" i="2" s="1"/>
  <c r="C77" i="2"/>
  <c r="L77" i="2" s="1"/>
  <c r="C76" i="2"/>
  <c r="L76" i="2" s="1"/>
  <c r="K75" i="2"/>
  <c r="C74" i="2"/>
  <c r="M74" i="2" s="1"/>
  <c r="C68" i="2"/>
  <c r="M68" i="2" s="1"/>
  <c r="C63" i="2"/>
  <c r="M63" i="2" s="1"/>
  <c r="C59" i="2"/>
  <c r="K58" i="2"/>
  <c r="C54" i="2"/>
  <c r="M54" i="2" s="1"/>
  <c r="C47" i="2"/>
  <c r="M47" i="2" s="1"/>
  <c r="K41" i="2"/>
  <c r="K34" i="2"/>
  <c r="K31" i="2"/>
  <c r="K10" i="2"/>
  <c r="E10" i="3" l="1"/>
  <c r="E9" i="3" s="1"/>
  <c r="C48" i="3"/>
  <c r="C47" i="3" s="1"/>
  <c r="J52" i="3"/>
  <c r="J7" i="3"/>
  <c r="E41" i="3"/>
  <c r="E38" i="3" s="1"/>
  <c r="M42" i="3"/>
  <c r="L42" i="3"/>
  <c r="C21" i="3"/>
  <c r="L154" i="2"/>
  <c r="M50" i="3"/>
  <c r="P7" i="3"/>
  <c r="O7" i="3"/>
  <c r="E96" i="2"/>
  <c r="C96" i="2" s="1"/>
  <c r="E9" i="2"/>
  <c r="C9" i="2" s="1"/>
  <c r="M59" i="2"/>
  <c r="L10" i="2"/>
  <c r="L9" i="2" s="1"/>
  <c r="L11" i="3"/>
  <c r="M11" i="3"/>
  <c r="L82" i="2"/>
  <c r="C107" i="2"/>
  <c r="C106" i="2" s="1"/>
  <c r="M108" i="2"/>
  <c r="L108" i="2"/>
  <c r="L107" i="2" s="1"/>
  <c r="L106" i="2" s="1"/>
  <c r="E40" i="2"/>
  <c r="C58" i="2"/>
  <c r="M58" i="2" s="1"/>
  <c r="L81" i="2"/>
  <c r="L80" i="2" s="1"/>
  <c r="M81" i="2"/>
  <c r="L50" i="3"/>
  <c r="K106" i="2"/>
  <c r="M106" i="2" s="1"/>
  <c r="C41" i="2"/>
  <c r="M41" i="2" s="1"/>
  <c r="D40" i="2"/>
  <c r="M111" i="2"/>
  <c r="K116" i="2"/>
  <c r="M119" i="2"/>
  <c r="L119" i="2"/>
  <c r="M121" i="2"/>
  <c r="L121" i="2"/>
  <c r="M129" i="2"/>
  <c r="L129" i="2"/>
  <c r="C132" i="2"/>
  <c r="M133" i="2"/>
  <c r="L133" i="2"/>
  <c r="L132" i="2" s="1"/>
  <c r="C136" i="2"/>
  <c r="L136" i="2" s="1"/>
  <c r="L137" i="2"/>
  <c r="M137" i="2"/>
  <c r="C138" i="2"/>
  <c r="L138" i="2" s="1"/>
  <c r="L139" i="2"/>
  <c r="M139" i="2"/>
  <c r="M143" i="2"/>
  <c r="L143" i="2"/>
  <c r="M145" i="2"/>
  <c r="L145" i="2"/>
  <c r="M147" i="2"/>
  <c r="L147" i="2"/>
  <c r="M149" i="2"/>
  <c r="L149" i="2"/>
  <c r="L153" i="2"/>
  <c r="M153" i="2"/>
  <c r="M112" i="2"/>
  <c r="L112" i="2"/>
  <c r="L110" i="2" s="1"/>
  <c r="L109" i="2" s="1"/>
  <c r="M118" i="2"/>
  <c r="L118" i="2"/>
  <c r="M120" i="2"/>
  <c r="L120" i="2"/>
  <c r="M122" i="2"/>
  <c r="L122" i="2"/>
  <c r="L128" i="2"/>
  <c r="L127" i="2" s="1"/>
  <c r="M128" i="2"/>
  <c r="K140" i="2"/>
  <c r="M144" i="2"/>
  <c r="L144" i="2"/>
  <c r="M146" i="2"/>
  <c r="L146" i="2"/>
  <c r="M148" i="2"/>
  <c r="L148" i="2"/>
  <c r="M150" i="2"/>
  <c r="L150" i="2"/>
  <c r="E109" i="2"/>
  <c r="D141" i="2"/>
  <c r="D140" i="2" s="1"/>
  <c r="C142" i="2"/>
  <c r="M142" i="2" s="1"/>
  <c r="C113" i="2"/>
  <c r="K109" i="2"/>
  <c r="C117" i="2"/>
  <c r="C127" i="2"/>
  <c r="C110" i="2"/>
  <c r="M110" i="2" s="1"/>
  <c r="K79" i="2"/>
  <c r="M75" i="2"/>
  <c r="K40" i="2"/>
  <c r="D14" i="3"/>
  <c r="E47" i="3"/>
  <c r="K14" i="3"/>
  <c r="L25" i="3"/>
  <c r="L26" i="3"/>
  <c r="L27" i="3"/>
  <c r="L30" i="3"/>
  <c r="L28" i="3" s="1"/>
  <c r="M30" i="3"/>
  <c r="L36" i="3"/>
  <c r="L41" i="3"/>
  <c r="L38" i="3" s="1"/>
  <c r="C80" i="2"/>
  <c r="C10" i="2"/>
  <c r="M31" i="2"/>
  <c r="M42" i="2"/>
  <c r="L68" i="2"/>
  <c r="L78" i="2"/>
  <c r="L75" i="2" s="1"/>
  <c r="M76" i="2"/>
  <c r="M77" i="2"/>
  <c r="K28" i="3"/>
  <c r="M28" i="3" s="1"/>
  <c r="E131" i="2"/>
  <c r="E130" i="2" s="1"/>
  <c r="M34" i="2"/>
  <c r="L74" i="2"/>
  <c r="M103" i="2"/>
  <c r="M82" i="2"/>
  <c r="K9" i="2"/>
  <c r="M10" i="2"/>
  <c r="D79" i="2"/>
  <c r="C79" i="2" s="1"/>
  <c r="D9" i="2"/>
  <c r="L34" i="3"/>
  <c r="K47" i="3"/>
  <c r="M47" i="3" s="1"/>
  <c r="M48" i="3"/>
  <c r="L48" i="3"/>
  <c r="M41" i="3"/>
  <c r="K38" i="3"/>
  <c r="M36" i="3"/>
  <c r="K21" i="3"/>
  <c r="C41" i="3"/>
  <c r="C38" i="3" s="1"/>
  <c r="E8" i="3"/>
  <c r="D38" i="3"/>
  <c r="C39" i="3"/>
  <c r="K96" i="2"/>
  <c r="K131" i="2"/>
  <c r="M21" i="3" l="1"/>
  <c r="R8" i="2"/>
  <c r="S8" i="2" s="1"/>
  <c r="R8" i="3"/>
  <c r="M96" i="2"/>
  <c r="P8" i="2"/>
  <c r="Q8" i="2" s="1"/>
  <c r="C141" i="2"/>
  <c r="C140" i="2" s="1"/>
  <c r="M138" i="2"/>
  <c r="E8" i="2"/>
  <c r="E7" i="2" s="1"/>
  <c r="K8" i="2"/>
  <c r="L47" i="3"/>
  <c r="M9" i="2"/>
  <c r="L117" i="2"/>
  <c r="L116" i="2" s="1"/>
  <c r="L115" i="2" s="1"/>
  <c r="L58" i="2"/>
  <c r="L40" i="2" s="1"/>
  <c r="L131" i="2"/>
  <c r="L130" i="2" s="1"/>
  <c r="L79" i="2"/>
  <c r="M107" i="2"/>
  <c r="M132" i="2"/>
  <c r="C131" i="2"/>
  <c r="M131" i="2" s="1"/>
  <c r="M136" i="2"/>
  <c r="C40" i="2"/>
  <c r="M40" i="2" s="1"/>
  <c r="M79" i="2"/>
  <c r="L142" i="2"/>
  <c r="M117" i="2"/>
  <c r="K130" i="2"/>
  <c r="M127" i="2"/>
  <c r="K115" i="2"/>
  <c r="M116" i="2"/>
  <c r="M113" i="2"/>
  <c r="C109" i="2"/>
  <c r="M109" i="2" s="1"/>
  <c r="C116" i="2"/>
  <c r="C115" i="2" s="1"/>
  <c r="D8" i="2"/>
  <c r="M80" i="2"/>
  <c r="M38" i="3"/>
  <c r="E52" i="3"/>
  <c r="E7" i="3"/>
  <c r="P8" i="3" s="1"/>
  <c r="D10" i="3"/>
  <c r="D9" i="3" s="1"/>
  <c r="D8" i="3" s="1"/>
  <c r="C14" i="3"/>
  <c r="C10" i="3" s="1"/>
  <c r="C9" i="3" s="1"/>
  <c r="C8" i="3" s="1"/>
  <c r="C52" i="3" s="1"/>
  <c r="L21" i="3"/>
  <c r="K10" i="3"/>
  <c r="L141" i="2" l="1"/>
  <c r="M14" i="3"/>
  <c r="L140" i="2"/>
  <c r="M140" i="2"/>
  <c r="M141" i="2"/>
  <c r="K166" i="2"/>
  <c r="M166" i="2" s="1"/>
  <c r="K7" i="2"/>
  <c r="M7" i="2" s="1"/>
  <c r="E166" i="2"/>
  <c r="D166" i="2"/>
  <c r="D7" i="2"/>
  <c r="L8" i="2"/>
  <c r="K9" i="3"/>
  <c r="K8" i="3" s="1"/>
  <c r="M8" i="3" s="1"/>
  <c r="M10" i="3"/>
  <c r="C130" i="2"/>
  <c r="M115" i="2"/>
  <c r="M130" i="2"/>
  <c r="C8" i="2"/>
  <c r="D7" i="3"/>
  <c r="D52" i="3"/>
  <c r="L14" i="3"/>
  <c r="L10" i="3" s="1"/>
  <c r="L9" i="3" s="1"/>
  <c r="L8" i="3" s="1"/>
  <c r="C7" i="3" l="1"/>
  <c r="O8" i="3"/>
  <c r="C7" i="2"/>
  <c r="M8" i="2"/>
  <c r="C166" i="2"/>
  <c r="L7" i="2"/>
  <c r="L166" i="2"/>
  <c r="K52" i="3"/>
  <c r="L52" i="3" s="1"/>
  <c r="K7" i="3"/>
  <c r="M7" i="3" s="1"/>
  <c r="M52" i="3" l="1"/>
  <c r="L7" i="3"/>
  <c r="N209" i="9"/>
  <c r="N208" i="9"/>
  <c r="N207" i="9" l="1"/>
  <c r="O208" i="9"/>
  <c r="O209" i="9"/>
  <c r="O207" i="9" l="1"/>
  <c r="O206" i="9" l="1"/>
  <c r="N206" i="9"/>
  <c r="M205" i="9"/>
  <c r="N205" i="9" l="1"/>
  <c r="O205" i="9"/>
  <c r="N204" i="9" l="1"/>
  <c r="O204" i="9"/>
  <c r="O203" i="9" l="1"/>
  <c r="N203" i="9"/>
  <c r="N202" i="9" l="1"/>
  <c r="O202" i="9"/>
  <c r="M201" i="9"/>
  <c r="M200" i="9" s="1"/>
  <c r="O201" i="9" l="1"/>
  <c r="N201" i="9"/>
  <c r="O200" i="9" l="1"/>
  <c r="N200" i="9"/>
  <c r="N199" i="9" l="1"/>
  <c r="M197" i="9"/>
  <c r="O199" i="9"/>
  <c r="O198" i="9" l="1"/>
  <c r="N198" i="9"/>
  <c r="O197" i="9" l="1"/>
  <c r="M196" i="9"/>
  <c r="N197" i="9"/>
  <c r="N196" i="9" l="1"/>
  <c r="M195" i="9"/>
  <c r="O196" i="9"/>
  <c r="N195" i="9" l="1"/>
  <c r="N194" i="9" s="1"/>
  <c r="O195" i="9"/>
  <c r="M194" i="9"/>
  <c r="O194" i="9" l="1"/>
  <c r="M193" i="9"/>
  <c r="N193" i="9" l="1"/>
  <c r="O193" i="9"/>
  <c r="M192" i="9"/>
  <c r="N192" i="9" l="1"/>
  <c r="O192" i="9"/>
  <c r="M191" i="9"/>
  <c r="M190" i="9" l="1"/>
  <c r="N191" i="9"/>
  <c r="N190" i="9" s="1"/>
  <c r="O191" i="9"/>
  <c r="M189" i="9" l="1"/>
  <c r="O190" i="9"/>
  <c r="O189" i="9" l="1"/>
  <c r="N189" i="9"/>
  <c r="N188" i="9" s="1"/>
  <c r="N177" i="9" s="1"/>
  <c r="N176" i="9" s="1"/>
  <c r="N153" i="9" s="1"/>
  <c r="N145" i="9" s="1"/>
  <c r="N210" i="9" s="1"/>
  <c r="M188" i="9"/>
  <c r="M177" i="9" l="1"/>
  <c r="R10" i="9" s="1"/>
  <c r="O188" i="9"/>
  <c r="M176" i="9" l="1"/>
  <c r="O177" i="9"/>
  <c r="O176" i="9" l="1"/>
  <c r="M153" i="9"/>
  <c r="M145" i="9" s="1"/>
  <c r="M7" i="9" l="1"/>
  <c r="N7" i="9" s="1"/>
  <c r="M210" i="9"/>
  <c r="O210" i="9" s="1"/>
  <c r="O7" i="9" l="1"/>
</calcChain>
</file>

<file path=xl/sharedStrings.xml><?xml version="1.0" encoding="utf-8"?>
<sst xmlns="http://schemas.openxmlformats.org/spreadsheetml/2006/main" count="1763" uniqueCount="781">
  <si>
    <t>หน่วยงานรับผิดชอบ</t>
  </si>
  <si>
    <t>โครงการงบพัฒนาจังหวัดแบบบูรณาการจังหวัดอ่างทอง</t>
  </si>
  <si>
    <t>ประเด็นยุทธศาสตร์ที่ 1 : พัฒนาเมืองน่าอยู่ สู่สังคมเป็นสุข</t>
  </si>
  <si>
    <t>อำเภอเมืองอ่างทอง</t>
  </si>
  <si>
    <t>อำเภอวิเศษชัยชาญ</t>
  </si>
  <si>
    <t>อำเภอโพธิ์ทอง</t>
  </si>
  <si>
    <t>ก่อสร้างถนนคอนกรีตเสริมเหล็ก บริเวณถนนทางเข้าวัดสระแก้ว หมู่ที่ 6 ตำบลบางเสด็จ อำเภอป่าโมก  จังหวัดอ่างทอง</t>
  </si>
  <si>
    <t xml:space="preserve">อำเภอป่าโมก </t>
  </si>
  <si>
    <t>ก่อสร้างถนนคอนกรีตเสริมเหล็กปูทับด้วยแอสฟัสท์ติกคอนกรีต (สายที่ 1) ตำบลเอกราช อำเภอป่าโมก จังหวัดอ่างทอง</t>
  </si>
  <si>
    <t>อำเภอแสวงหา</t>
  </si>
  <si>
    <t>อำเภอสามโก้</t>
  </si>
  <si>
    <t>ก่อสร้างสะพานคอนกรีตเสริมเหล็ก หมู่ที่ 2 ตำบลยางช้าย อำเภอโพธิ์ทอง จังหวัดอ่างทอง</t>
  </si>
  <si>
    <t>สำนักงานเกษตรและสหกรณ์</t>
  </si>
  <si>
    <t xml:space="preserve"> ส่งเสริมหมู่บ้าน OTOP เป็นแหล่งท่องเที่ยวเชิงวัฒนธรรม</t>
  </si>
  <si>
    <t xml:space="preserve">สำนักงานพัฒนาชุมชน </t>
  </si>
  <si>
    <t>พัฒนาศูนย์เรียนรู้หมู่บ้านเศรษฐกิจพอเพียงต้นแบบ</t>
  </si>
  <si>
    <t>สำนักงานพัฒนาชุมชน</t>
  </si>
  <si>
    <t>ส่งเสริมวิถีชุมชนเป็นแหล่งท่องเที่ยวเชิงเศรษฐกิจพอเพียงและวัฒนธรรม</t>
  </si>
  <si>
    <t>ส่งเสริมความเข้มแข็งชุมชนด้วยหลักปรัชญาเศรษฐกิจพอเพียง</t>
  </si>
  <si>
    <t>ส่งเสริมการใช้ปุ๋ยเพื่อลดต้นทุนการผลิต</t>
  </si>
  <si>
    <t>สำนักงานสหกรณ์</t>
  </si>
  <si>
    <t>ส่งเสริมการเลี้ยงปลาหมอไทย</t>
  </si>
  <si>
    <t>ส่งเสริมการปลูกไผ่หวาน</t>
  </si>
  <si>
    <t>พัฒนาศักยภาพคณะกรรมการหมู่บ้าน(กม.)ในการสร้างความปรองดองสมานฉันท์</t>
  </si>
  <si>
    <t>ที่ทำการปกครอง</t>
  </si>
  <si>
    <t>ศอ.ปส.จ.อท.</t>
  </si>
  <si>
    <t>รณรงค์ประชาสัมพันธ์ผ่านช่องทางต่าง ๆ เพื่อกระตุ้นจิตสำนึก เสริมสร้างพลังทางสังคม</t>
  </si>
  <si>
    <t>ค่ายปรับเปลี่ยนพฤติกรรม</t>
  </si>
  <si>
    <t xml:space="preserve">No place for drug </t>
  </si>
  <si>
    <t>ตำรวจภูธรจังหวัด</t>
  </si>
  <si>
    <t>ปรับปรุงหนองพนมพร้อมเสริมคันดินและอาคารประกอบ ตำบลเทวราช อำเภอไชโย จังหวัดอ่างทอง</t>
  </si>
  <si>
    <t>โครงการชลประทานอ่างทอง</t>
  </si>
  <si>
    <t>ปรับปรุงบึงศาลาอ้อ ตำบลสาวร้องไห้ อำเภอวิเศษชัยชาญ จังหวัดอ่างทอง</t>
  </si>
  <si>
    <t>ขุดลอกคลองลำท่าแดง หมู่ที่ 2,4 ตำบลย่านซื่อ อำเภอเมืองอ่างทอง จังหวัดอ่างทอง</t>
  </si>
  <si>
    <t>ปรับปรุงฟื้นฟูคลองระบายน้ำ หมู่ที่ 1 - 6 ตำบลรำมะสัก อำเภอโพธิ์ทอง จังหวัดอ่างทอง</t>
  </si>
  <si>
    <t>ขุดลอกหนองขโมยพร้อมประตูปิดเปิดระบายน้ำหนองขโมย  หมู่ที่ 4 ตำบลบางเสด็จ อำเภอป่าโมก จังหวัดอ่างทอง</t>
  </si>
  <si>
    <t>สำนักงานโยธาธิการฯ</t>
  </si>
  <si>
    <t>สำนักงานคลัง</t>
  </si>
  <si>
    <t>อำเภอไชโย</t>
  </si>
  <si>
    <t>ปรับปรุงสภาพแวดล้อมของชุมชน โครงการพัฒนาพื้นที่แก้มลิงหนองเจ็ดเส้นอันเนื่องมากจากพระราชดำริ</t>
  </si>
  <si>
    <t>สำนักงานทรัพยากร
ธรรมชาติและสิ่งแวดล้อม</t>
  </si>
  <si>
    <t>ประเด็นยุทธศาสตร์ที่ 2 : พัฒนาศักยภาพ การผลิต บริโภค และจำหน่ายอาหารปลอดภัย</t>
  </si>
  <si>
    <t xml:space="preserve">ส่งเสริมการผลิตผักปลอดภัยในโรงเรือนระบบปิด  </t>
  </si>
  <si>
    <t>ส่งเสริมการผลิตไม้ผลที่มีคุณภาพปลอดภัยได้มาตรฐานเพื่อการส่งออก (มะม่วง กล้วยหอมทอง)</t>
  </si>
  <si>
    <t>สำนักงานเกษตร</t>
  </si>
  <si>
    <t>ส่งเสริมการผลิตอาหารปลอดภัย "โรงเรียนเกษตรกรทำนา"</t>
  </si>
  <si>
    <t xml:space="preserve">ยกระดับการเลี้ยงแพะให้ได้มาตรฐาน </t>
  </si>
  <si>
    <t>สำนักงานปศุสัตว์</t>
  </si>
  <si>
    <t xml:space="preserve">พัฒนาการผลิต แปรรูปผลิตภัณฑ์นกกระทาอ่างทอง </t>
  </si>
  <si>
    <t>พัฒนาตลาดกลางจำหน่ายสัตว์น้ำสู่มาตรฐาน ประจำจังหวัดอ่างทอง</t>
  </si>
  <si>
    <t>สำนักงานประมง</t>
  </si>
  <si>
    <t>การส่งเสริมการจำหน่ายอาหารปลอดภัยและผลิตภัณฑ์จังหวัดอ่างทอง</t>
  </si>
  <si>
    <t>สำนักงานพาณิชย์</t>
  </si>
  <si>
    <t>ประเด็นยุทธศาสตร์ที่ 3 : ยกระดับมาตรฐานผลิตภัณฑ์สู่ตลาดโลก</t>
  </si>
  <si>
    <t>จัดแสดงและจำหน่ายผลิตภัณฑ์ OTOP</t>
  </si>
  <si>
    <t xml:space="preserve">โครงการพัฒนาการท่องเที่ยวเพื่อคนทั้งมวล จังหวัดอ่างทอง </t>
  </si>
  <si>
    <t>การเชื่อมโยงตลาดและเจรจาธุรกิจในประเทศเศรษฐกิจอาเซียน (AEC)</t>
  </si>
  <si>
    <t>ประเด็นยุทธศาสตร์ที่ 4 : ส่งเสริมการท่องเที่ยวเชิงวัฒนธรรม ถิ่นวีรชน และการเกษตร</t>
  </si>
  <si>
    <t>งานรำลึกสมเด็จพระพุฒาจารย์  (โต พรหมรังสี)</t>
  </si>
  <si>
    <t>สำนักงานการท่องเที่ยวและกีฬา</t>
  </si>
  <si>
    <t xml:space="preserve">งานรำลึกสมเด็จพระนเรศวรมหาราช  </t>
  </si>
  <si>
    <t xml:space="preserve"> - สำนักงานการท่องเที่ยวและกีฬา
 - อำเภอป่าโมก                </t>
  </si>
  <si>
    <t xml:space="preserve">งานรำลึกวีรชนแขวงเมืองวิเศษชัยชาญ </t>
  </si>
  <si>
    <t xml:space="preserve">งานสดุดีวีรชนคนแสวงหา </t>
  </si>
  <si>
    <t xml:space="preserve">งานสดุดีวีรชนพันท้ายนรสิงห์ </t>
  </si>
  <si>
    <t>งานเทศกาลกินผัดไทย ไหว้พระสมเด็จเกษไชโย</t>
  </si>
  <si>
    <t xml:space="preserve">งานมหกรรมกินกุ้งใหญ่ กินไข่นกกระทา กินผักปลาปลอดสารพิษ  </t>
  </si>
  <si>
    <t xml:space="preserve"> - สำนักงานการท่องเที่ยวและกีฬา
 - สำนักงานประมง
 - สำนักงานเกษตร</t>
  </si>
  <si>
    <t xml:space="preserve">งานแข่งขันเรือพาย </t>
  </si>
  <si>
    <t xml:space="preserve"> - สำนักงานการท่องเที่ยวและกีฬา
 - อำเภอป่าโมก 
 - อำเภอสามโก้</t>
  </si>
  <si>
    <t xml:space="preserve">งานเกษตรและของดีเมืองอ่างทอง </t>
  </si>
  <si>
    <t xml:space="preserve"> - สำนักงานเกษตรและสหกรณ์
 - สำนักงานการท่องเที่ยวและกีฬา</t>
  </si>
  <si>
    <t>ค่าใช้จ่ายในการบริหารจัดการยุทธศาสตร์ของผู้ว่าราชการจังหวัด</t>
  </si>
  <si>
    <t>ผู้รับจ้าง</t>
  </si>
  <si>
    <t>ผลการเบิกจ่าย(บาท)</t>
  </si>
  <si>
    <t>คงเหลือ</t>
  </si>
  <si>
    <t>ร้อยละ</t>
  </si>
  <si>
    <t xml:space="preserve">ประจำปีงบประมาณ พ.ศ. 2560 จังหวัดอ่างทอง </t>
  </si>
  <si>
    <t>ที่</t>
  </si>
  <si>
    <t>โครงการ/กิจกรรม</t>
  </si>
  <si>
    <t>งบประมาณ(บาท)</t>
  </si>
  <si>
    <t>หน่วยงานที่รับผิดชอบ</t>
  </si>
  <si>
    <t>งบลงทุน</t>
  </si>
  <si>
    <t>งบดำเนินงาน</t>
  </si>
  <si>
    <t>วงเงินสัญญาจ้าง</t>
  </si>
  <si>
    <t>ประเด็นยุทธศาสตร์ที่ 1 ยกระดับกระบวนการผลิตการตลาดและระบบ Logistics อาหารปลอดภัย</t>
  </si>
  <si>
    <t>โครงการยกระดับกระบวนการผลิต แปรรูป และการตลาดสินค้าอาหารปลอดภัย</t>
  </si>
  <si>
    <t>กิจกรรมที่ 1.1 ยกระดับกระบวนการผลิตเข้าสู่มาตรฐาน</t>
  </si>
  <si>
    <t>1.1.1 ส่งเสริมการผลิตด้านพืช  สู่มาตรฐาน GAP</t>
  </si>
  <si>
    <t xml:space="preserve">      1.1.1.1 อบรมถ่ายทอดความรู้การลดต้นทุนการผลิตภายใต้โครงการแปลงใหญ่ฯ จำนวน 50 ราย</t>
  </si>
  <si>
    <t xml:space="preserve">      1.1.1.2 การตรวจรับรองมาตรฐานแหล่งผลิตตามมาตรฐาน GAP (ข้าว)</t>
  </si>
  <si>
    <t>1.1.2 พัฒนาและส่งเสริมการแปรรูปสัตว์น้ำสู่มาตรฐานอาหารปลอดภัย</t>
  </si>
  <si>
    <t>1.1.3 ส่งเสริมการผลิตด้านปศุสัตว์สู่มาตรฐานฟาร์ม</t>
  </si>
  <si>
    <t xml:space="preserve">1.1.4 การใช้เทคโนโลยีการพัฒนาที่ดิน เพื่อเพิ่มประสิทธิภาพการผลิตพืช </t>
  </si>
  <si>
    <t>กิจกรรมที่ 1.2 ส่งเสริมการแปรรูปและพัฒนาบรรจุภัณฑ์</t>
  </si>
  <si>
    <t>กิจกรรมที่ 1.3 เสริมสร้างขีดความสามารถของสถาบันเกษตร ผู้ประกอบการและเกษตรกร</t>
  </si>
  <si>
    <t>กิจกรรมที่ 1.4 ส่งเสริมและรับรองแหล่งจำหน่ายสินค้าเกษตรปลอดภัยมาตรฐาน Q</t>
  </si>
  <si>
    <t>กิจกรรมที่ 1.5 ส่งเสริมการตลาด</t>
  </si>
  <si>
    <t>กิจกรรมที่ 1.6 บริหารจัดการโครงการ</t>
  </si>
  <si>
    <t xml:space="preserve"> โครงการส่งเสริมสนับสนุนเทคโนโลยีการผลิตพลังงานทดแทนเพื่อลดต้นทุนการผลิต</t>
  </si>
  <si>
    <t>กิจกรรมที่ 3.1 สนับสนุนเทคโนโลยีสูบน้ำพลังงานแสงอาทิตย์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</si>
  <si>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</si>
  <si>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โครงการพัฒนายกระดับคุณภาพแหล่งท่องเที่ยวทางประวัติศาสตร์ศาสนาวัฒนธรรม ธรรมชาติและวิถีชีวิตลุ่มน้ำ</t>
  </si>
  <si>
    <t>โครงการส่งเสริมกิจกรรมสร้างแรงดึงดูดนักท่องเที่ยวกลุ่มจังหวัด</t>
  </si>
  <si>
    <t>กิจกรรมที่ 5.1 มนต์เสน่ห์เรื่องเล่าวิถีชีวิตชุมชน</t>
  </si>
  <si>
    <t>5.1.1 งานมหกรรมลิเก</t>
  </si>
  <si>
    <t>5.1.2 งานมหกรรมกลองนานาชาติ</t>
  </si>
  <si>
    <t>5.1.3 งานเทศกาลไหว้พระนอนวัดขุนอินทประมูล</t>
  </si>
  <si>
    <t xml:space="preserve">5.1.4 กิจกรรมส่งเสริมการท่องเที่ยวชุมชน มนต์เสน่ห์วิถีไทย </t>
  </si>
  <si>
    <t>ประเด็นยุทธศาสตร์ที่ 3 บริหารจัดการน้ำแบบบูรณาการ</t>
  </si>
  <si>
    <t>โครงการจัดหาและพัฒนาแหล่งน้ำเพื่อรองรับการบริหารจัดการน้ำอย่างเป็นระบบ</t>
  </si>
  <si>
    <t>กิจกรรมที่ 6.1 ปรับปรุงคลองขนากพร้อมอาคารป้องกันการกัดเซาะ ตำบลบางจัก อำเภอวิเศษชัยชาญ จังหวัดอ่างทอง</t>
  </si>
  <si>
    <t>โครงการป้องกันแก้ไขปัญหาคุณภาพน้ำในแม่น้ำสายหลัก</t>
  </si>
  <si>
    <t>กิจกรรมที่ 7.1 เครือข่ายประชาชนเฝ้าระวังคุณภาพน้ำ</t>
  </si>
  <si>
    <t>รวม</t>
  </si>
  <si>
    <t>ก่อสร้างถนนคอนกรีตเสริมเหล็ก หมู่ที่ 10 ตำบลสีบัวทอง เชื่อมต่อหมู่ที่ 7 ตำบลแสวงหา อำเภอแสวงหา จังหวัดอ่างทอง</t>
  </si>
  <si>
    <t>งบประมาณ 93,692,000 บาท (เก้าสิบสามล้านหกแสนเก้าหมื่นสองพันบาทถ้วน)</t>
  </si>
  <si>
    <t>โครงการเพิ่มประสิทธิภาพระบบบริหารจัดการสินค้าและการขนส่งของกลุ่มจังหวัด Logistics</t>
  </si>
  <si>
    <t>สนง.เกษตรจังหวัด</t>
  </si>
  <si>
    <t>สนง.ประมงจังหวัด</t>
  </si>
  <si>
    <t>สนง.ปศุสัตว์จังหวัด</t>
  </si>
  <si>
    <t>สนง.เกษตรและสหกรณ์</t>
  </si>
  <si>
    <t>สนง.พาณิชย์จังหวัด</t>
  </si>
  <si>
    <t>แขวงทางหลวงชนบท</t>
  </si>
  <si>
    <t>สนง.พลังงานจังหวัด</t>
  </si>
  <si>
    <t>สนง.การท่องเที่ยวและกีฬาจังหวัด</t>
  </si>
  <si>
    <t>ดำเนินกิจกรรม To be number one ในอำเภอ</t>
  </si>
  <si>
    <t>ดำเนินกิจกรรม To be number one ในสถานประกอบการ</t>
  </si>
  <si>
    <t>ดำเนินกิจกรรม To be number one ในเรือนจำ</t>
  </si>
  <si>
    <t>ดำเนินกิจกรรม To be number one ในสำนักงานคุมประพฤติ</t>
  </si>
  <si>
    <t>ดำเนินกิจกรรม To be number one ในวิทยาลัยนาฏศิลป์</t>
  </si>
  <si>
    <t>ดำเนินจัดประกวดแข่งขัน To be number one ในจังหวัด</t>
  </si>
  <si>
    <t>คลองสวยน้ำใส บริเวณคลองโพธิ์ หมู่ที่ 3 ตำบลโพสะ อำเภอเมือง จังหวัดอ่างทอง</t>
  </si>
  <si>
    <t xml:space="preserve">      1.1.2.1 ตู้อบพลังความร้อน (ระบบแก๊สพร้อมอุปกรณ์)</t>
  </si>
  <si>
    <t xml:space="preserve">      1.1.2.2 ตู้แช่แข็ง ขนาด 9.5 คิว </t>
  </si>
  <si>
    <t xml:space="preserve">      1.1.2.3 เครื่องบรรจุภัณฑ์สุญญากาศแบบมาตรฐาน </t>
  </si>
  <si>
    <t xml:space="preserve">      1.1.2.4 เครื่องบดและผสมอาหารระบบไฟฟ้า อัตโนมัติ </t>
  </si>
  <si>
    <t xml:space="preserve">      งบดำเนินงาน</t>
  </si>
  <si>
    <t xml:space="preserve">      1.1.3.1 เครื่องสับหญ้า </t>
  </si>
  <si>
    <t xml:space="preserve">      ครุภัณฑ์</t>
  </si>
  <si>
    <t>สนง.เกษตรและสหกรณ์จังหวัด</t>
  </si>
  <si>
    <t xml:space="preserve">     1.4.1 ตู้แช่เนื้อสัตว์</t>
  </si>
  <si>
    <t>บัญชีโครงการงบประมาณตามแผนปฏิบัติราชการกลุ่มจังหวัดภาคกลางตอนบน 2</t>
  </si>
  <si>
    <t>กลุ่มจังหวัด</t>
  </si>
  <si>
    <t>สนง.พัฒนาชุมชนจังหวัด</t>
  </si>
  <si>
    <t>สนง.ทรัพยากรธรรมชาติและสิ่งแวดล้อมจังหวัด</t>
  </si>
  <si>
    <t>1.การจัดประชุมหารือเพื่อจัดทำแผนการพัฒนาจังหวัดและกลุ่มจังหวัดกับภาคส่วนต่างๆ ตามมาตรา 53/1 และมาตรา 53/2 แห่งพระราชบัญญัติระเบียบบริหารราชการแผ่นดิน พ.ศ.2534 และที่แก้ไขเพิ่มเติม</t>
  </si>
  <si>
    <t>1.1 กิจกรรมบริหารจัดการแผนพัฒนาจังหวัดอ่างทอง ประจำปีงบประมาณ พ.ศ. 2560</t>
  </si>
  <si>
    <t>1) ดำเนินการทบทวนแผนพัฒนาจังหวัดอ่างทอง (4ปี) พ.ศ.2561-2564</t>
  </si>
  <si>
    <t>2) ดำเนินการจัดทำแผนปฏิบัติราชการประจำปีของจังหวัดอ่างทอง ปี 2561 และปี 2562</t>
  </si>
  <si>
    <t>3) ดำเนินการตามตัวชี้วัดคำรับรองปฏิบัติราชการ</t>
  </si>
  <si>
    <t>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</si>
  <si>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5) ค่าอาหารปฏิบัติงานล่วงเวลา</t>
  </si>
  <si>
    <t>2. การจัดประชุมก.บ.จ. หรือ ก.บ.ก. หรือ ก.ร.อ.จังหวัด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</si>
  <si>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 (ก.ร.อ.จังหวัด) ประจำปีงบประมาณ พ.ศ.2560</t>
  </si>
  <si>
    <t>1) ค่าเบี้ยประชุมคณะกรรมการ ก.บ.จ. อ่างทอง</t>
  </si>
  <si>
    <t>2) ค่าอาหารว่างและเครื่องดื่ม</t>
  </si>
  <si>
    <t>3) ค่าจ้างเหมาจัดทำเอกสาร</t>
  </si>
  <si>
    <t>4) ค่าเดินทางไปราชการ</t>
  </si>
  <si>
    <t>3. การจัดการศึกษาเพื่อพัฒนายุทธศาสตร์จังหวัด/กลุ่มจังหวัด</t>
  </si>
  <si>
    <t>3.1 กิจกรรมดำเนินการขับเคลื่อนยุทธศาสตร์การพัฒนาจังหวัดอ่างทอง (อ่างทองครัวกรุงเทพ อ่างทองที่สุดอัศจรรย์)</t>
  </si>
  <si>
    <t>4. การพัฒนาประสิทธิภาพในการบริหารจัดการ</t>
  </si>
  <si>
    <t>4.1 กิจกรรมอำนวยการบริหารงานจังหวัดแบบบูรณาการจังหวัดอ่างทอง ประจำปีงบประมาณ พ.ศ.2560</t>
  </si>
  <si>
    <t>2) ค่าวัสดุสำนักงาน 12*30,000 บาท</t>
  </si>
  <si>
    <t>3) ค่าเดินทางไปราชการ</t>
  </si>
  <si>
    <t>4) ค่าซ่อมแซมครุภัณฑ์สำนักงาน</t>
  </si>
  <si>
    <t>5) ค่าซ่อมแซมรถยนต์</t>
  </si>
  <si>
    <t>8) ค่าอาหารปฏิบัติงานล่วงเวลา</t>
  </si>
  <si>
    <t>4.2 กิจกรรมจัดหาบุคลากรเพื่อสนับสนุนการบริหารจัดการตามยุทธศาสตร์การพัฒนาจังหวัดอ่างทอง ประจำปีงบประมาณ พ.ศ.2560 (7 คน)</t>
  </si>
  <si>
    <t>2) วุฒิปริญญาตรีช่วยงานการเงินงบจังหวัดกลุ่มจังหวัด (ประสบการณ์มากกว่า 1 ปี) 1 คนๆ ละ 12 เดือนๆ ละ 14,000 บาท</t>
  </si>
  <si>
    <t>1) วุฒิปริญญาตรีช่วยงานการเงินงบประจำปี (ประสบการณ์มากกว่า 2 ปี) 1 คนๆ ละ 12 เดือนๆ ละ 1,5000 บาท</t>
  </si>
  <si>
    <t>3) วุฒิปริญญาตรีช่วยงานระบบเอกสารอิเลคทรอนิกส์และบริหารงานทั่วไป (ประสบการณ์มากกว่า 2 ปี) 1 คนๆ ละ 12 เดือนๆ ละ 15,000 บาท</t>
  </si>
  <si>
    <t>4) วุฒิปริญญาตรีช่วยงานยุทธศาสตร์ (ประสบการณ์มากกว่า 1 ปี) 1 คนๆ ละ 12 เดือนๆ ละ 14,000 บาท</t>
  </si>
  <si>
    <t>5) วุฒิ ปวส. ช่วยงานธุรการทั่วไป 1 คนๆ ละ 12 เดือนๆ ละ 11,000 บาท</t>
  </si>
  <si>
    <t>6) วุฒิ ปวส. ขับรถยนต์ 2 คนๆ ละ 12 เดือนๆ ละ 11,500 บาท</t>
  </si>
  <si>
    <t>4.3 กิจกรรมพัฒนาระบบข้อมูลสารสนเทศและการสื่อสารเพื่อการบริหารจัดการยุทธศาสตร์การพัฒนาจังหวัด</t>
  </si>
  <si>
    <t>1) การประชุมคณะกรรมการและพัฒนาระบบสารสนเทศและการสื่อสารของจังหวัด</t>
  </si>
  <si>
    <t>2) ดำเนินงานหน่วยงานต้นแบบศูนย์ข้อมูลข่าวสาร ตาม พรบ. ข้อมูลข่าวสาร พ.ศ.2542</t>
  </si>
  <si>
    <t>4.4 กิจกรรมของส่วนราชการที่ได้รับอนุมัติจากผู้ว่าราชการจังหวัดอ่างทอง</t>
  </si>
  <si>
    <t>5. การเผยแพร่ประชาสัมพันธ์เพื่อให้เกิดความรู้ความเข้าใจแก่ภาคส่วนต่างๆ เพื่อเข้ามามีส่วนร่วมในการจัดทำแผน รวมทั้งเพื่อสนับสนุนเพื่อขับเคลื่อนการดำเนินการตามแผน</t>
  </si>
  <si>
    <t>5.1 กิจกรรมดำเนินการประชาสัมพันธ์ยุทธศาสตร์การพัฒนาจังหวัด</t>
  </si>
  <si>
    <t>5.2 กิจกรรมของส่วนราชการที่ได้รับอนุมัติจากผู้ว่าราชการจังหวัด</t>
  </si>
  <si>
    <t>6. การติดตามประเมินผล</t>
  </si>
  <si>
    <t>6.1 กิจกรรมค่าใช้จ่ายในการติดตามประเมินผลการดำเนินงานตามแผนพัฒนาจังหวัดอ่างทอง</t>
  </si>
  <si>
    <t>1) ค่าน้ำมันเชื้อเพลิง ผวจ. 12*10,000 บาท                   รอง ผวจ. 2*12*7,000 บาท สนจ. 12*7,000 บาท</t>
  </si>
  <si>
    <t>1) ค่าน้ำมันเชื้อเพลิง ผวจ. 12*10,000 บาท                   รอง ผวจ. 2*12*8,000 บาท สนจ. 12*8,000 บาท</t>
  </si>
  <si>
    <t>2) ค่าวัสดุสำนักงาน 12*5,000 บาท</t>
  </si>
  <si>
    <t>6) ค่าวิทยากร ค่าอาหารจัดประชุม ค่าจ้างเหมาจัดทำเอกสาร และงานอำนวยการติดตามยุทธศาสตร์ของจังหวัด</t>
  </si>
  <si>
    <t>7) ค่าเช่าเครื่องถ่ายเอกสาร 1 เครื่องๆ ละ 12 เดือนๆ ละ 13,000 บาท</t>
  </si>
  <si>
    <t>5.2.1 โครงการเพิ่มศักยภาพงานประชาสัมพันธ์จังหวัดอ่างทอง ประจำปีงบประมาณ พ.ศ.2560</t>
  </si>
  <si>
    <t>4.4.1 โครงการสานใจไทยสู่ใจใต้ รุ่น 29</t>
  </si>
  <si>
    <t>วงเงินในสัญญาจ้าง</t>
  </si>
  <si>
    <t>ผลการดำเนินงาน</t>
  </si>
  <si>
    <t>จำนวน(บาท)</t>
  </si>
  <si>
    <t>สัญญาเริ่มต้น-สิ้นสุด</t>
  </si>
  <si>
    <t>งบประมาณ (บาท)</t>
  </si>
  <si>
    <t>สถานะโครงการ</t>
  </si>
  <si>
    <t xml:space="preserve">อนุมัติโครงการ
</t>
  </si>
  <si>
    <t>เสนอโครงการ</t>
  </si>
  <si>
    <t>สำนักงานจังหวัด</t>
  </si>
  <si>
    <t>ผลการดำเนินงานโครงการพัฒนาจังหวัดแบบบูรณาการ ประจำปีงบประมาณ พ.ศ. 2560</t>
  </si>
  <si>
    <t>บริษัท เพ็ชรอินทร์ก่อสร้าง</t>
  </si>
  <si>
    <t>หจก.ภัสสรชัยมงคล</t>
  </si>
  <si>
    <t>สำนักงานวัฒนธรรมจังหวัด</t>
  </si>
  <si>
    <t>1 โครงการพัฒนาโครงสร้างพื้นฐานของประชาชน</t>
  </si>
  <si>
    <t>1.1 ก่อสร้างปรับปรุงเส้นทางเชื่อมโยงระหว่างหมู่บ้านและตำบล</t>
  </si>
  <si>
    <t>1.2 ก่อสร้างระบบประปาหมู่บ้าน</t>
  </si>
  <si>
    <t>1.3 ก่อสร้างปรับปรุงสะพานเชื่อมโยงเส้นทางระหว่างหมู่บ้านและตำบล</t>
  </si>
  <si>
    <t>2 โครงการส่งเสริมอาชีพสร้างโอกาสสร้างรายได้ของประชาชน</t>
  </si>
  <si>
    <t>2.1 สนองการดำเนินงานโครงการพระราชดำริในพื้นที่</t>
  </si>
  <si>
    <t>2.2 ส่งเสริมการดำเนินงานตามแนวปรัชญาเศรษฐกิจพอเพียง</t>
  </si>
  <si>
    <t>2.3 ส่งเสริมอาชีพสร้างความเข้มแข็งให้กลุ่มสหกรณ์</t>
  </si>
  <si>
    <t>3 โครงการเสริมสร้างความมั่นคงและความปลอดภัยในชีวิตและทรัพย์สิน</t>
  </si>
  <si>
    <t>3.1 รักษาความมั่นคงภายใน</t>
  </si>
  <si>
    <t>3.2 ป้องกันและแก้ไขปัญหายาเสพติด</t>
  </si>
  <si>
    <t>4 โครงการบริหารจัดการน้ำแบบบูรณาการ</t>
  </si>
  <si>
    <t>4.1 พัฒนาปรับปรุงแหล่งน้ำ</t>
  </si>
  <si>
    <t>4.2 ป้องกันภัยพิบัติจากน้ำ</t>
  </si>
  <si>
    <t>5 โครงการส่งเสริมการบริหารการจัดการที่ดีแบบบูรณาการและป้องกันและปราบปรามการทุจริต</t>
  </si>
  <si>
    <t>5.1 พัฒนาประสิทธิภาพบุคลากรภาครัฐ</t>
  </si>
  <si>
    <t>6 โครงการปรับปรุงสภาพแวดล้อมของชุมชน</t>
  </si>
  <si>
    <t>6.1 รณรงค์การสร้างบ้านเรือนและชุมชนที่น่าอยู่</t>
  </si>
  <si>
    <t>6.2 รณรงค์คลองสวยน้ำใส</t>
  </si>
  <si>
    <t>7. โครงการส่งเสริมการผลิตอาหารปลอดภัย</t>
  </si>
  <si>
    <t>7.1 ยกระดับกระบวนการผลิตเข้าสู่มาตรฐาน</t>
  </si>
  <si>
    <t>7.2 ส่งเสริมการจำหน่ายสินค้าเกษตรให้ได้มาตรฐาน</t>
  </si>
  <si>
    <t>8.1 พัฒนาขีดความสามารถในการแข่งขันเพื่อการส่งออก</t>
  </si>
  <si>
    <t>8. การยกระดับผลิตภัณฑ์ตามมาตรฐานการส่งออก</t>
  </si>
  <si>
    <t>8.2 ยกระดับผลิตภัณฑ์ตามมาตรฐานการส่งออก</t>
  </si>
  <si>
    <t>8.3 โครงการส่งเสริมการตลาดเพื่อการส่งออก</t>
  </si>
  <si>
    <t>9. ส่งเสริมการท่องเที่ยวเชิงวัฒนธรรม ถิ่นวีรชน และการเกษตร</t>
  </si>
  <si>
    <t>9.1 โครงการส่งเสริมกิจกรรมการท่องเที่ยวสานสัมพันธ์ วัฒนธรรมประเพณี</t>
  </si>
  <si>
    <t>ก่อสร้างถนนคอนกรีตเสริมเหล็ก หมู่ที่ 1 ตำบลโพสะ อำเภอเมือง            เชื่อมต่อหมู่ 7 ตำบลสายทอง อำเภอป่าโมก จังหวัดอ่างทอง</t>
  </si>
  <si>
    <t>ก่อสร้างถนนคอนกรีตเสริมเหล็ก ท่อระบายน้ำ พร้อมท่อพัก และรางวี ถนนสายเอี่ยมประชา อำเภอเมืองอ่างทอง จังหวัดอ่างทอง</t>
  </si>
  <si>
    <t>ก่อสร้างถนนคอนกรีตเสริมเหล็ก (เส้นทางคันคลองชลประทาน)             หมู่ที่ 2,3,6 บ้านเมืองใหม่ ตำบลคลองขนาก  เชื่อมต่อหมู่ที่ 5              ตำบลบางจัก อำเภอวิเศษชัยชาญ  จังหวัดอ่างทอง</t>
  </si>
  <si>
    <t>ก่อสร้างถนนคอนกรีตเสริมเหล็ก หมู่ที่ 11 ตำบลม่วงเตี้ย                      อำเภอวิเศษชัยชาญ เชื่อมต่อหมู่ที่ 1 ตำบลราษฎรพัฒนา อำเภอสามโก้ จังหวัดอ่างทอง</t>
  </si>
  <si>
    <t>ก่อสร้างถนนคอนกรีตเสริมเหล็ก หมู่ที่ 3 ตำบลรำมะสัก อำเภอโพธิ์ทอง เชื่อมต่อหมู่ที่ 2 ตำบลวังน้ำเย็น อำเภอแสวงหา จังหวัดอ่างทอง</t>
  </si>
  <si>
    <t>ก่อสร้างถนนคอนกรีตเสริมเหล็ก หมู่ที่ 12 ตำบลรำมะสัก อำเภอโพธิ์ทอง จังหวัดอ่างทอง เชื่อมต่อหมู่ที่ 5 ตำบลปลายนา อำเภอศรีประจันต์ จังหวัดสุพรรณบุรี</t>
  </si>
  <si>
    <t>ก่อสร้างถนนคอนกรีตเสริมเหล็ก หมู่ที่ 6 (ทางเข้าหนองเจ็ดเส้น)            ตำบลสายทอง  อำเภอป่าโมก  จังหวัดอ่างทอง</t>
  </si>
  <si>
    <t>ก่อสร้างถนนคอนกรีตเสริมเหล็ก(ลาดยางแอสฟัลท์ติกทับหน้า)หมู่ที่ 6 (เส้นกลางหมู่บ้าน) ตำบลนรสิงห์ เชื่อมต่อกับหมู่ที่ 1 ตำบลเอกราช         อำเภอป่าโมก จังหวัดอ่างทอง</t>
  </si>
  <si>
    <t>ก่อสร้างถนน คอนกรีตเสริมเหล็กปูทับด้วยแอสฟัสท์ติกคอนกรีต              ถนนริมคลองชลประทาน หมู่ที่ ๑-๒ ถึงบริเวณห้าแยกนรสิงห์-ลาดเค้า  ตำบลเอกราช  อำเภอป่าโมก  จังหวัดอ่างทอง</t>
  </si>
  <si>
    <t>ก่อสร้างถนน คอนกรีตเสริมเหล็กปูทับด้วยแอสฟัสท์ติกคอนกรีต                (สายที่ 2) ตำบลเอกราช อำเภอป่าโมก จังหวัดอ่างทอง</t>
  </si>
  <si>
    <t>ก่อสร้างถนนคอนกรีตเสริมเหล็ก ทางจากแยกต้นหูกวาง หมู่ที่ 5          ตำบลจำลอง อำเภอแสวงหา ถึงถนน คอนกรีตเสริมเหล็ก เชื่อมต่อหมู่ที่ 1 ตำบลห้วยไผ่ อำเภอแสวงหา จังหวัดอ่างทอง</t>
  </si>
  <si>
    <t>ก่อสร้างถนนคอนกรีตเสริมเหล็ก หมู่ที่ 9 ตำบลบ้านพราน เชื่อมต่อหมู่ที่ 1 ตำบลวังน้ำเย็น อำเภอแสวงหา จังหวัดอ่างทอง</t>
  </si>
  <si>
    <t>ก่อสร้างถนนคอนกรีตเสริมเหล็ก หมู่ที่ 8 หมู่ที่ 7 ตำบลบ้านพราน  เชื่อมต่อหมู่ที่ 1 ตำบลวังน้ำเย็น อำเภอแสวงหา จังหวัดอ่างทอง</t>
  </si>
  <si>
    <t>ก่อสร้างถนนคอนกรีตเสริมเหล็ก หมู่ที่ 1 ตำบลสามโก้  อำเภอสามโก้ เชื่อมต่อหมู่ที่ 9  ตำบลยี่ล้น อำเภอวิเศษชัยชาญ จังหวัดอ่างทอง</t>
  </si>
  <si>
    <t>ก่อสร้างถนนคอนกรีตเสริมเหล็ก หมู่ที่  10 ตำบลสามโก้ เชื่อมต่อหมู่ที่ 6  ตำบลสามโก้  อำเภอสามโก้ จังหวัดอ่างทอง</t>
  </si>
  <si>
    <t xml:space="preserve">ก่อสร้างถนนคอนกรีตเสริมเหล็ก หมู่ที่ 4  ตำบลราษฎรพัฒนา                เชื่อมต่อหมู่ที่ 5  ตำบลมงคลธรรมนิมิต อำเภอสามโก้ จังหวัดอ่างทอง </t>
  </si>
  <si>
    <t>ก่อสร้างถนนคอนกรีตเสริมเหล็ก หมู่ที่  5  ตำบลราษฎรพัฒนา                 เชื่อมต่อหมู่ที่ 8  ตำบลมงคลธรรมนิมิต อำเภอสามโก้ จังหวัดอ่างทอง</t>
  </si>
  <si>
    <t>ก่อสร้างระบบประปาหมู่บ้านขนาดเล็ก หมู่ที่ ๕ ตำบลเอกราช                 อำเภอป่าโมก จังหวัดอ่างทอง</t>
  </si>
  <si>
    <t>ก่อสร้างระบบประปาหมู่บ้านขนาดใหญ่ หมู่ที่ ๓ ตำบลเอกราช              อำเภอป่าโมก จังหวัดอ่างทอง</t>
  </si>
  <si>
    <t>ก่อสร้างสะพานคอนกรีจเสริมเหล็ก หมู่ที่5 ตำบลย่านซื่อ                     อำเภอเมืองอ่างทอง จังหวัดอ่างทอง</t>
  </si>
  <si>
    <t>ก่อสร้างสะพานคอนกรีตเสริมเหล็ก หมู่ที่ 3 ตำบลสีบัวทอง                   อำเภอแสวงหา จังหวัดอ่างทอง</t>
  </si>
  <si>
    <t>ก่อสร้างเขื่อนป้องกันตลิ่งริมแม่น้ำน้อย (ต่อเนื่องเขื่อนเดิม)                   บริเวณหน้าวัดท่าสามัคคี หมู่ที่ 1 ตำบลองครักษ์ อำเภอโพธิ์ทอง            จังหวัดอ่างทอง</t>
  </si>
  <si>
    <t>ก่อสร้างเขื่อนเรียงหิน บริเวณหน้าวัดโคกพุทรา หมู่ 1  ตำบลโคกพุทรา อำเภอโพธิ์ทอง จังหวัดอ่างทอง</t>
  </si>
  <si>
    <t>ส่งเสริมความเข้มแข็งในการบริหารจัดการด้านการเงิน,การคลังที่มี      ธรรมาภิบาลและการป้องกันปราบปรามการทุจริตในภาครัฐ</t>
  </si>
  <si>
    <t>ปรับปรุงภูมิทัศน์หาดเจ้าพระยา หมู่ที่ 1 ตำบลราชสถิตย์  อำเภอไชโย จังหวัดอ่างทอง</t>
  </si>
  <si>
    <t xml:space="preserve">   สัญญา     เรื่มต้น-สิ้นสุด</t>
  </si>
  <si>
    <t>จำนวน</t>
  </si>
  <si>
    <t>กิจกรรมที่ 2.1 ขยายไหล่ทางและปรับปรุงผิวจราจรถนนลาดยาง สาย อท.2034 แยก ทล.32-บ.มหานาม           อ.ไชโย จ.อ่างทอง  ระยะทางไม่น้อยกว่า 2.000 กม.       (ตอนที่ 2)</t>
  </si>
  <si>
    <t>กิจกรรมที่ 4.1 ก่อสร้างซุ้มประตูทางเข้าหมู่บ้านทำกลองและปรับปรุงภูมิทัศน์ ตำบลเอกราช อำเภอป่าโมก             จังหวัดอ่างทอง</t>
  </si>
  <si>
    <t>อนุมัติโครงการ</t>
  </si>
  <si>
    <t>ครุภัณฑ์</t>
  </si>
  <si>
    <t xml:space="preserve"> - เครื่องซีลสูญญากาศ กำลังซีลไม่น้อยกว่า 0.6 kw กำลังปั๊มสูญญากาศ 3 คิว</t>
  </si>
  <si>
    <t xml:space="preserve"> - รถรางชมวิวขนาดไม่น้อยกว่า 35 ที่นั่ง (เปิดข้าง) เครื่องใหม่</t>
  </si>
  <si>
    <t xml:space="preserve"> - เครื่องสูบน้ำขนาดไม่ต่ำกว่า 10 แรงม้า ท่อพญานาคแสตนเลส เส้นผ่าศูนย์กลาง 8 นิ้ว 6 เมตร พร้อมอุปกรณ์ จำนวน 1 เครื่อง</t>
  </si>
  <si>
    <t>สำนักงานประมงจังหวัด</t>
  </si>
  <si>
    <t xml:space="preserve"> - เครื่องสับหญ้าแบบ 4 ใบมีด </t>
  </si>
  <si>
    <t>สำนักงานปศุสัตว์จังหวัด</t>
  </si>
  <si>
    <t xml:space="preserve"> - ชุดใบพัดตีน้ำ 2 ชุด พร้อมตู้ควบคุมและติดตั้ง</t>
  </si>
  <si>
    <t xml:space="preserve"> - ตู้แช่แข็งฝาทึบ ขนาด 13.5 คิว (สีเทา)</t>
  </si>
  <si>
    <t xml:space="preserve"> - เครื่องบดย่อยกิ่งไม้</t>
  </si>
  <si>
    <t>สำนักงานเกษตรจังหวัด</t>
  </si>
  <si>
    <t>4.4.2 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 2560</t>
  </si>
  <si>
    <t>สำนักงานคลังจังหวัด</t>
  </si>
  <si>
    <t>สำนักงานประชาสัมพันธ์</t>
  </si>
  <si>
    <t>6) ค่าวิทยากร ค่าอาหารจัดประชุม ค่าจ้างเหมาจัดทำเอกสาร และงานอำนวยการบูรณาการทั่วไปของจังหวัด</t>
  </si>
  <si>
    <t>อบรมพัฒนาศักยภาพเจ้าหน้าที่สาธารณสุขเรื่องการบำบัดฟื้นฟูยาเสพติด การติดตามและการบันทึกข้อมูล</t>
  </si>
  <si>
    <t>สาธารณสุข</t>
  </si>
  <si>
    <t xml:space="preserve"> </t>
  </si>
  <si>
    <t>หจก.อ่างทองพัฒนา</t>
  </si>
  <si>
    <t>หจก.เจริญอารี</t>
  </si>
  <si>
    <t>หจก.มหาราชชัยมงคล</t>
  </si>
  <si>
    <t>หจก.ทรัพย์สายทอง</t>
  </si>
  <si>
    <t>หจก.ศรณรงค์ ก่อสร้าง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</si>
  <si>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</si>
  <si>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</si>
  <si>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งบประมาณที่ได้รับจัดสรร (บาท)</t>
  </si>
  <si>
    <t>ผลการเบิกจ่ายงบประมาณ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</si>
  <si>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</si>
  <si>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</si>
  <si>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</si>
  <si>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</si>
  <si>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เริ่มต้น 16 พ.ย. 59 ถึง 13 ก.ย. 60</t>
  </si>
  <si>
    <t>งบประมาณ 185,998,300 บาท (หนึ่งร้อยแปดสิบห้าล้านเก้าแสนเก้าหมื่นแปดพันสามร้อยบาท)</t>
  </si>
  <si>
    <t>บริษัท รถรางชมเมืองสุโขทัย จำกัด</t>
  </si>
  <si>
    <t xml:space="preserve"> องค์การสงเคราะห์ทหารผ่านศึก</t>
  </si>
  <si>
    <t>หจก.ม่วงเตี้ย รุ่งเรือง</t>
  </si>
  <si>
    <t>เริ่ม 24 พ.ย. 59
ถึง 23 ธ.ค. 59</t>
  </si>
  <si>
    <t>บริษัท TDD ก่อสร้าง จำกัด</t>
  </si>
  <si>
    <t>นายนรงค์ ปานวิเชียร</t>
  </si>
  <si>
    <t>เริ่ม 29 พ.ย. 59 ถึง 28 ม.ค. 60</t>
  </si>
  <si>
    <t>เหลือจ่าย</t>
  </si>
  <si>
    <t>ส่งเสริมและพัฒนาพื้นที่แก้มลิงหนองเจ็ดเส้น อันเนื่องมาจากพระราชดำริตำบลหัวไผ่ อำเภอเมืองอ่างทอง ตำบลสายทอง           อำเภอป่าโมก จังหวัดอ่างทอง</t>
  </si>
  <si>
    <t>ส่งเสริมและพัฒนาฟาร์มตัวอย่างตามพระราชดำริ ในสมเด็จพระนางเจ้าฯ พระบรมราชินีนาถ บ้านยางกลาง ตำบลสีบัวทอง                 อำเภอแสวงหา จังหวัดอ่างทอง</t>
  </si>
  <si>
    <t>ส่งเสริมและพัฒนาฟาร์มตัวอย่างตามพระราชดำริ ในสมเด็จพระนางเจ้าฯ พระบรมราชินีนาถ หนองระหารจีน ตำบลบ้านอิฐ                อำเภอเมืองอ่างทอง จังหวัดอ่างทอง</t>
  </si>
  <si>
    <t xml:space="preserve"> - ค่าจ้างเหมาสร้างอาคารศูนย์แสดง และจำหน่ายสินค้าผลิตภัณฑ์ชุมชน บริเวณวัดจันทรังษี</t>
  </si>
  <si>
    <t xml:space="preserve"> - ค่าตู้โชว์แสดง และโต๊ะสินค้าจำหน่ายผลิตภัณฑ์ชุมชน</t>
  </si>
  <si>
    <t xml:space="preserve"> - ค่าจ้างเหมาปรับปรุงภูมิทัศน์ ฐานการเรียนร็ภูมิปัญญาท้องถิ่นในชุมชน</t>
  </si>
  <si>
    <t xml:space="preserve"> ลงทุน</t>
  </si>
  <si>
    <t>ดำเนินงาน</t>
  </si>
  <si>
    <t xml:space="preserve"> - เครื่องมัลติมีเดียโปรเจคเตอร์ จำนวน 14 เครื่อง ๆ ละ 17,000 บาท</t>
  </si>
  <si>
    <t xml:space="preserve"> - ปรับปรุงภูมิทัศน์ภายในหมู่บ้านบางเสด็จ หมู่ที่ 2 ตำบลบางเสด็จ อำเภอป่าโมก</t>
  </si>
  <si>
    <t>เริ่ม 16 ธ.ค. 59 ถึง 16 มี.ค. 60</t>
  </si>
  <si>
    <t xml:space="preserve">เริ่ม 21 พ.ย.59 ถึง 20 ม.ค. 60 </t>
  </si>
  <si>
    <t>เริ่ม 16 ธ.ค. 59 ถึง 14 ก.พ. 60</t>
  </si>
  <si>
    <t>เริ่ม 28 พ.ย. 59
ถึง 28 ม.ค. 60</t>
  </si>
  <si>
    <t xml:space="preserve">เริ่ม 22 พ.ย. 59 ถึง 19 ก.พ. 60 </t>
  </si>
  <si>
    <t>เริ่ม 16 พ.ย. 59
ถึง 16 ม.ค. 60</t>
  </si>
  <si>
    <t>เริ่ม 1 ธ.ค. 59
ถึง 28 ก.พ. 60</t>
  </si>
  <si>
    <t>หจก.สหทัยค้าไม้สระบุรี</t>
  </si>
  <si>
    <t xml:space="preserve">สหสมชัย ธนพร </t>
  </si>
  <si>
    <t>เริ่มต้น 28 พ.ย. 59 ถึง 27 ม.ค. 60</t>
  </si>
  <si>
    <t>เริ่ม 30 พ.ย. 59 ถึง 25 ก.ย. 60</t>
  </si>
  <si>
    <t>เริ่ม 30 พ.ย. 59 ถึง 30 มี.ค. 60</t>
  </si>
  <si>
    <t>เริ่ม 16 พ.ย. 59
ถึง 13 ก.พ. 60</t>
  </si>
  <si>
    <t>เริ่ม 24 พ.ย. 59
ถึง 22 ก.พ. 60</t>
  </si>
  <si>
    <t>ผลการดำเนินงานและการเบิกจ่ายงบประมาณค่าใช้จ่ายในการบริหารจัดการจังหวัดอ่างทอง ประจำปีงบประมาณ 2560</t>
  </si>
  <si>
    <t>งบประมาณ 8000000 บาท (แปดล้านบาทถ้วน)</t>
  </si>
  <si>
    <t>องค์การสงเคราะห์ทหารผ่านศึก</t>
  </si>
  <si>
    <t xml:space="preserve"> - กิจกรรมที่ 1 พัฒนาการผลิตนกกระทาสู่มาตรฐาน (การฝึกอบรมพัฒนาเกษตรกรผู้เลี้ยงนกกระทาและผู้สนใจ)</t>
  </si>
  <si>
    <t xml:space="preserve"> - กิจกรรมที่ 2 พัฒนาการแปรรูปผลิตภัณฑ์นกกระทาอ่างทอง (การฝึกอบรมพัฒนาแปรรูปผลิตภัณฑ์นกกระทาอ่างทอง)</t>
  </si>
  <si>
    <t xml:space="preserve"> - กิจกรรมที่ 3 การส่งเสริมความรู้ด้านอาหารศึกษาและกระตุ้นการบริโภคผลิตภัณฑ์นกกระทา (การฝึกอบรมความรู้ด้านอาหารศึกษาและกระตุ้นการบริโภคผลิตภัณฑ์นกกระทา)</t>
  </si>
  <si>
    <t xml:space="preserve"> - กิจกรรมที่ 4 การติดตามความก้าวหน้าของโครงการ</t>
  </si>
  <si>
    <t>ก่อสร้างสะพาน คอนกรีตเสริมเหล็ก ทางเข้าโรงพยาบาลป่าโมก  หมู่ที่ 2 ตำบลป่าโมก อำเภอป่าโมก จังหวัดอ่างทอง</t>
  </si>
  <si>
    <t>เริ่ม 30 พ.ย. 59
ถึง 27 ก.พ. 60</t>
  </si>
  <si>
    <t>เริ่ม 9 ธ.ค. 59 ถึง 6 ก.ค. 60</t>
  </si>
  <si>
    <t>ดำเนินกิจกรรม To be number one ในสถานพินิจและคุ้มครองเด็ก</t>
  </si>
  <si>
    <t>หจก.ประสิทรุ่งเรือง</t>
  </si>
  <si>
    <t>เบิกงบลงทุน</t>
  </si>
  <si>
    <t>เบิกดำเนินงาน</t>
  </si>
  <si>
    <t>เริ่ม 16 ธ.ค. 59 ถึง 11 ต.ค.60</t>
  </si>
  <si>
    <t>ก่อสร้างสะพานคอนกรีตเสริมเหล็ก ระหว่าง ตำบลจำลอง อำเภอแสวงหา เชื่อมต่อ ตำบลแสวงหา หมู่ที่ 2 และตำบลศรีพราน หมู่ 1 อำเภอแสวงหา จังหวัดอ่างทอง</t>
  </si>
  <si>
    <t xml:space="preserve">  70.1ก่อสร้างอาคารศูนย์ฝึกอาชีพและแสดงสินค้า OTOP หมู่ที่ 6          ตำบลหัวตะพาน อำเภอวิเศษชัยชาญ จังหวัดอ่างทอง</t>
  </si>
  <si>
    <t>บริษัท สตรีม อาคิเทคเทอรัล แอนด์ เอ็นจิเนียริ่ง จำกัด</t>
  </si>
  <si>
    <t>เริ่ม 29 ธ.ค.59 ถึง 27 มิ.ย. 60</t>
  </si>
  <si>
    <t>บริษัท จันทร์สมบูรณ์ไลท์ติ้ง จำกัด</t>
  </si>
  <si>
    <t>ร้าน คิงส์ทองพาณิชย์</t>
  </si>
  <si>
    <t>บริษัทสองฝั่งการเกษตร จำกัด</t>
  </si>
  <si>
    <t xml:space="preserve"> บริษัท
วีระมาศการเกษตร จำกัด</t>
  </si>
  <si>
    <t xml:space="preserve"> บริษัท 
วีระมาศการเกษตร จำกัด</t>
  </si>
  <si>
    <t>ห้างหุ้นส่วนจำกัด หัวเหรียญ อีสาน</t>
  </si>
  <si>
    <t>เริ่ม 15 ธ.ค. 59 สิ้นสุด 14 ม.ค. 60</t>
  </si>
  <si>
    <t>เริ่ม 25 พ.ย. 59 สิ้นสุด 25 มี.ค. 60</t>
  </si>
  <si>
    <t>เริ่มต้น 25พ.ย. 59
 สิ้นสุด 15 ธ.ค. 60</t>
  </si>
  <si>
    <t>บริษัท 
ซีแอลพี อินเตอร์เทรด จำกัด</t>
  </si>
  <si>
    <t>เริ่ม 14 ธ.ค. 59 สิ้นสุด 3 ม.ค. 60</t>
  </si>
  <si>
    <t>บริษัท โกลแพนด้าอินเตอร์เทค จำกัด</t>
  </si>
  <si>
    <t>คิงทองพานิชย์</t>
  </si>
  <si>
    <t>เริ่ม 16 ธ.ค. 59 สิ้นสุด 23 ธ.ค. 59</t>
  </si>
  <si>
    <t>ลงนามสัญญาแล้ว</t>
  </si>
  <si>
    <t>เริ่ม 24 ธ.ค. 59 ถึง 22 เม.ย. 60</t>
  </si>
  <si>
    <t>เริ่ม 9 ธ.ค. 59 
ถึง 6 ก.พ. 60</t>
  </si>
  <si>
    <t>เริ่ม 19 ธ.ค. 59 สิ้นสุด 19 มี.ค.60</t>
  </si>
  <si>
    <t>เริ่ม 30 ธ.ค. 59 สิ้นสุด 12 ก.พ.60</t>
  </si>
  <si>
    <t>หจก.บางจากการโยธา</t>
  </si>
  <si>
    <t>เริ่ม 27 ธ.ค. 59
ถึง 25 เม.ย. 60</t>
  </si>
  <si>
    <t>เริ่ม 28 พ.ย. 59 ถึง 20 มี.ค. 60</t>
  </si>
  <si>
    <t>เริ่ม 27 ม.ค. 59 ถึง 25 พ.ค. 60</t>
  </si>
  <si>
    <t>ลงนามสัญญาจ้างแล้ว</t>
  </si>
  <si>
    <t>บริษัทมัลติซิล
คอมพิวเตอร์แอนด์แอดเวิร์ด จำกัด</t>
  </si>
  <si>
    <t>ส่งมอบ 
27 ก.พ. 60</t>
  </si>
  <si>
    <t>หจก.โอบภกิจ จำกัด</t>
  </si>
  <si>
    <t>บริษัท เจ เค
เฟอร์นิเจอร์จำกัด</t>
  </si>
  <si>
    <t>หจก.รุ้งทวีการโยธาจำกัด</t>
  </si>
  <si>
    <t>เริ่มต้น 26ธ.ค.59 สิ้นสุด 24 ก.พ.60</t>
  </si>
  <si>
    <t>เริ่ม 28 ธ.ค. 59 ถึง 25 มิ.ย.60</t>
  </si>
  <si>
    <t>ส่งเสริมความเข้มแข็งหมู่บ้าน/ชุมชนที่มีการแพร่ระบาดรุนแรง</t>
  </si>
  <si>
    <t xml:space="preserve"> ค้นหาผู้เสพยา/เสพติดเพื่อเข้ารับการบำบัด</t>
  </si>
  <si>
    <t>เริ่ม 29 ธ.ค.59 สิ้นสุด 27 พ.ค. 60</t>
  </si>
  <si>
    <t>หจก.บีดีซัคเซท</t>
  </si>
  <si>
    <t>เริ่มต้น30 ธ.ค.59 สิ้นสุด 15 ก.พ.60</t>
  </si>
  <si>
    <t>เริ่ม 28 ธ.ค.59 สิ้นสุด 17 ม.ค.60</t>
  </si>
  <si>
    <t>เริ่มต้น 30 ธ.ค.59 สิ้นสุด 10 ม.ค.60</t>
  </si>
  <si>
    <t>หจก.5 ธ.ทางพระ</t>
  </si>
  <si>
    <t>เริ่มต้น 10 ธ.ค.59 สิ้นสุด 9 มี.ค.60</t>
  </si>
  <si>
    <t>เริ่มต้น 17 ธ.ค.59 สิ้นสุด 16 มี.ค. 60</t>
  </si>
  <si>
    <t xml:space="preserve"> - คอมพิวเตอร์โน๊ตบุ๊คสำหรับสำนักงาน จำนวน 14 เครื่อง </t>
  </si>
  <si>
    <t>4.4.3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( 50 วัน ) พระบาทสมเด็จพระปรมินทรมหาภูมิพลอดุลยเดช วันที่ 1 ธันวาคม 2559</t>
  </si>
  <si>
    <t>4.4.4 โครงการสร้างจิตสำนึกข้าราชการและประชาชน " พระบารมีปกเกล้า ชาวอ่างทอง " เนื่องในโอกาสบำเพ็ญพระราชกุศลปัญญาสมวาร ( 100 วัน ) พระบาทสมเด็จพระปรมินทรมหาภูมิพลอดุลยเดช วันที่ 20 มกราคม 2560</t>
  </si>
  <si>
    <t>ที่ทำการปกครองจังหวัดอ่างทอง</t>
  </si>
  <si>
    <t>4.4.5 โครงการ " หน่วยบำบัดทุกข์ บำรุงสุขสร้างรอยยิ้มให้ประชาชน " เพื่อเสริมสร้างความเข้าใจของประชาชนในการดำเนินงานตามยุทธศาสตร์การพัฒนาจังหวัดอ่างทอง ประจำปีงบประมาณ พ.ศ. 2560</t>
  </si>
  <si>
    <t>สำนักงานจังหวัด
(หน่วยงานตรวจสอบภายใน)</t>
  </si>
  <si>
    <t>5.2.2 โครงการผู้ว่าพบประชาชน ประจำปีงบประมาณ พ.ศ. 2560</t>
  </si>
  <si>
    <t>5.2.3 โครงการจัดทำปฏิทินส่งเสริมการท่องเที่ยวจังหวัดอ่างทอง ประจำปี 2560</t>
  </si>
  <si>
    <t>5.2.4 โครงการบูรณาการความร่วมมือด้านการประชาสัมพันธ์ เพื่อการพัฒนาจังหวัดอ่างทอง</t>
  </si>
  <si>
    <t>5.1.1 โครงการประชาสัมพันธ์ยุทธศาสตร์การพัฒนาจังหวัดอ่างทอง ประจำปีงบประมาณ พ.ศ.2560 ภายใต้โครงการเพิ่มประสิทธิภาพการบริหารจัดการยุทธศาสตร์การพัฒนาจังหวัดอ่างทอง ประจำปีงบประมาณ พ.ศ.2560</t>
  </si>
  <si>
    <t>โครงการเงินเหลือจ่าย</t>
  </si>
  <si>
    <t>ที่ทำการปกครองจังหวัด</t>
  </si>
  <si>
    <t>ห้างหุ้นส่วนจำกัด ส.งามทรัพย์</t>
  </si>
  <si>
    <t>เสร็จแล้ว</t>
  </si>
  <si>
    <t>สรุปการอนุมัติโครงการ</t>
  </si>
  <si>
    <t>งบประมาณค่าใช้จ่ายในการสนับสนุนการแก้ไขปัญหาความเดือดร้อนเร่งด่วนของประชาชนในจังหวัดอ่างทอง ประจำปีงบประมาณ พ.ศ. 2560</t>
  </si>
  <si>
    <t>ประจำปีงบประมาณ พ.ศ. 2560 งวดที่ 1 (2 ล้านบาท)</t>
  </si>
  <si>
    <t>โครงการ</t>
  </si>
  <si>
    <t>งบประมาณที่ได้รับอนุมัติ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</si>
  <si>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</si>
  <si>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2560         </t>
  </si>
  <si>
    <t>1.1 โครงการก่อสร้างติดตั้งหอถังน้ำสูง (ทรงแชมเปญ) ขนาดความจุ 20 ลบ.ม.</t>
  </si>
  <si>
    <t xml:space="preserve"> - สำนักงานจังหวัดอ่างทอง
 - อำเภอไชโย</t>
  </si>
  <si>
    <t>1.2 โครงการก่อสร้างห้องสุขาสำหรับประชาชน อำเภอแสวงหา จังหวัดอ่างทอง ประจำปีงบประมาณ พ.ศ. 2560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</si>
  <si>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</si>
  <si>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อำเภอป่าโมก</t>
  </si>
  <si>
    <t>1.4 โครงการปรับปรุงประปาหมู่บ้านหมู่ที่ 1 บ้านช่องน้ำไหล จำนวน 3 หอถัง ตำบลห้วยคันแหลนอำเภอวิเศษชัยชาญ จังหวัดอ่างทอง</t>
  </si>
  <si>
    <t xml:space="preserve"> - สำนักงานจังหวัดอ่างทอง
 - อำเภอวิเศษชัยชาญ</t>
  </si>
  <si>
    <t>1.5 โครงการปรับปรุงฟื้นฟูแหล่งกักเก็บน้ำบ้านไผ่นกนอน</t>
  </si>
  <si>
    <t xml:space="preserve"> - สำนักงานจังหวัดอ่างทอง
 - อำเภอสามโก้</t>
  </si>
  <si>
    <t xml:space="preserve"> - สำนักงานจังหวัดอ่างทอง</t>
  </si>
  <si>
    <t>สัญญาจ้าง</t>
  </si>
  <si>
    <t>1.3 ก่อสร้างระบบประปาหมู่บ้านขนาดเล็ก (ขนาดความจุ 20 ลูกบาศก์เมตร) หมู่ที่ 5 ตำบลเอกราช อำเภอป่าโมก จังหวัดอ่างทอง</t>
  </si>
  <si>
    <t xml:space="preserve">ร้าน ช.ชยาภรณ์ </t>
  </si>
  <si>
    <t xml:space="preserve">เริ่ม 8 ก.พ.60
สิ้นสุด 10 มี.ค. 60 </t>
  </si>
  <si>
    <t xml:space="preserve">เบิกจ่าย </t>
  </si>
  <si>
    <t>ผลการเบิกจ่าย (บาท)</t>
  </si>
  <si>
    <t xml:space="preserve">เริ่ม 2 ก.พ. 60
สิ้นสุด 22 ก.พ. 60 </t>
  </si>
  <si>
    <t xml:space="preserve">ร้าน รดาบาดาล </t>
  </si>
  <si>
    <t xml:space="preserve">1. งานเกษตรและของดีเมืองอ่างทอง </t>
  </si>
  <si>
    <t>2. งาน " อ่างทองรำลึก 31 ปี ใต้ร่มพระบารมีองค์ภูมิพล "</t>
  </si>
  <si>
    <t xml:space="preserve">3. ปรับปรุงภูมิทัศน์หาดเจ้าพระยา หมู่ที่ 1 ตำบลราชสถิตย์ 
 อำเภอไชโย จังหวัดอ่างทอง                                       </t>
  </si>
  <si>
    <t xml:space="preserve">4. ปรับปรุงภูมิทัศน์ โครงการพัฒนาพื้นที่แก้มลิงหนองเจ็ดเส้นอันเนื่องมากจากพระราชดำริ                         </t>
  </si>
  <si>
    <t xml:space="preserve">5. ปรับปรุงบึงสำเภาลอย ตำบลโรงช้าง อำเภอป่าโมก จังหวัดอ่างทอง                    </t>
  </si>
  <si>
    <t>6. ปรับปรุงหนองเป็ด พร้อมเสริมคันดิน ตำบลโคกพุทรา
 อำเภอโพธิ์ทอง จังหวัดอ่างทอง</t>
  </si>
  <si>
    <t>4.4.6 โครงการเพิ่มประสิทธิภาพการคำนวณราคากลางงานก่อสร้างจังหวัดอ่างทอง</t>
  </si>
  <si>
    <t xml:space="preserve">5. ปรับปรุงบึงสำเภาลอย ตำบลโรงช้าง อำเภอป่าโมก           จังหวัดอ่างทอง                    </t>
  </si>
  <si>
    <t>หมายเหตุ</t>
  </si>
  <si>
    <t>เริ่มต้น 4 มี.ค. 60
 สิ้นสุด 30 ส.ค. 60</t>
  </si>
  <si>
    <t>อยู่ระหว่างแก้ไขงาน</t>
  </si>
  <si>
    <t>ผู้รับเหมาส่งงาน วันที่ 2 มี.ค.60 รอกรรมการตรวจรับงาน</t>
  </si>
  <si>
    <t>ตรวจรับงานวันที่ 1 มี.ค.60
 อยู่ระหว่างเซ็นต์อนุมัติขอเบิก</t>
  </si>
  <si>
    <t>อยู่ช่วงเก็บงานที่เหลือ</t>
  </si>
  <si>
    <t>อยู่ระหว่างรวบรวมเอกสารส่งเบิก</t>
  </si>
  <si>
    <t xml:space="preserve">งานประมาณ 80 % ซึ่งเกินกำหนดสัญญา จะต้องมีการเสียค่าปรับ </t>
  </si>
  <si>
    <t>รอหนังสืออนุญาตจากชลประทาน</t>
  </si>
  <si>
    <t>7. กิจกรรมประชาสัมพันธ์ งานอ่างทองถิ่นวีรชนเมืองคนกล้า</t>
  </si>
  <si>
    <t xml:space="preserve">เริ่ม 2 ก.พ. 60
สิ้นสุด 18 มี.ค. 60 </t>
  </si>
  <si>
    <t>ห้างหุ้นส่วนจำกัดภัสสรชัยมงคล</t>
  </si>
  <si>
    <t xml:space="preserve">เริ่ม 31 ม.ค. 60
สิ้นสุด 17 มี.ค. 60 </t>
  </si>
  <si>
    <t>นางสาวนุชลี 
ขวัญเกตุ</t>
  </si>
  <si>
    <t>นายธวัช ปุนสกุล</t>
  </si>
  <si>
    <t xml:space="preserve">เริ่ม 2 ก.พ. 60
สิ้นสุด 3 มี.ค. 60 </t>
  </si>
  <si>
    <t>บัญชีโครงการงบประมาณรายจ่ายประจำปีงบประมาณ พ.ศ. 2560 เพิ่มเติม</t>
  </si>
  <si>
    <t>(โครงการตามแนวทางการสร้างความเข้มแข็งและยั่งยืนให้กับเศรษฐกิจภายในประเทศ)</t>
  </si>
  <si>
    <t>หน่วยดำเนินการ</t>
  </si>
  <si>
    <t>รวม 2 โครงการ</t>
  </si>
  <si>
    <t>โครงการสร้างมูลค่าเพิ่มมาตรฐานอาหารปลอดภัยเพื่อสุขภาพโดยเป็น "ครัวสุขภาพเพื่อมหานคร"</t>
  </si>
  <si>
    <t>1.การวิจัยและพัฒนาปัจจัยพื้นฐานสินค้าเกษตร</t>
  </si>
  <si>
    <t>1.2 พัฒนาปรับปรุงคุณภาพของ ดิน แหล่งน้ำ และเส้นทางการขนส่งให้มีความเหมาะสม</t>
  </si>
  <si>
    <t>1.2.1 พัฒนาแหล่งน้ำเพื่อการเกษตร</t>
  </si>
  <si>
    <t xml:space="preserve">1.2.1.9 ปรับปรุงหนองหัวแตก พร้อมอาคารประกอบ ตำบลหนองแม่ไก่ 
อำเภอโพธิ์ทอง </t>
  </si>
  <si>
    <t xml:space="preserve">1.2.1.10 ปรับปรุงหนองลาดใหญ่ พร้อมอาคารประกอบ ตำบลชัยฤทธิ์ อำเภอไชโย </t>
  </si>
  <si>
    <t xml:space="preserve">1.2.1.11 ปรับปรุงหนองระหานใหญ่ พร้อมอาคารประกอบ ตำบลไชยภูมิ อำเภอไชโย </t>
  </si>
  <si>
    <t>1.2.1.13 ขุดลอกบึงเบิกไพร หมู่ที่ 6 ตำบลไผ่ดำพัฒนา อำเภอวิเศษชัยชาญ</t>
  </si>
  <si>
    <t>1.2.1.14 ขุดลอกบึงอ้ายรัง หมู่ที่ 8 ตำบลไผ่ดำพัฒนา อำเภอวิเศษชัยชาญ</t>
  </si>
  <si>
    <t>1.2.2 พัฒนาเส้นทางการขนส่งผลผลิตทางการเกษตร</t>
  </si>
  <si>
    <t>แขวงทางหลวงชนบทอ่างทอง</t>
  </si>
  <si>
    <t>1.2.2.4 ก่อสร้างถนน คสล.หมู่ 3 บ้านบึง ตำบลรำมะสัก เชื่อมต่อหมู่ 7 
บ้านแจงแขวนหม้อ ตำบลม่วงคัน อำเภอโพธิ์ทอง</t>
  </si>
  <si>
    <t>2.การเพิ่มผลผลิตพัฒนาคุณภาพและลดต้นทุน</t>
  </si>
  <si>
    <t>2.1 ส่งเสริมการผลิตสินค้าเกษตรปลอดภัย</t>
  </si>
  <si>
    <t>2.1.1 ด้านพืช</t>
  </si>
  <si>
    <t>สนง.เกษตรจังหวัดอ่างทอง</t>
  </si>
  <si>
    <t>2.1.2 ด้านประมง</t>
  </si>
  <si>
    <t>สนง.ประมงจังหวัดอ่างทอง</t>
  </si>
  <si>
    <t>2.1.3 ด้านปศุสัตว์</t>
  </si>
  <si>
    <t>สนง.ปศุสัตว์จังหวัดอ่างทอง</t>
  </si>
  <si>
    <t>3.การพัฒนาเกษตรกรและสถาบันเกษตรกร</t>
  </si>
  <si>
    <t>3.1 พัฒนาเกษตรกรและสถาบันเกษตรกรสู่การเป็นผู้ประกอบการ</t>
  </si>
  <si>
    <t>3.1.1 ส่งเสริมการรวมกลุ่ม เพื่อวางแผนการผลิตรองรับความต้องการของตลาด 
และสร้างพลังการต่อรอง</t>
  </si>
  <si>
    <t>สนง.สหกรณ์จังหวัดอ่างทอง</t>
  </si>
  <si>
    <t>3.2 การขยายเทคโนโลยีกระบวนการผลิตและแปรรูปผลิตภัณฑ์สู่ชุมชน</t>
  </si>
  <si>
    <t>3.2.1 ส่งเสริมการนำเทคโนโลยีมาพัฒนาผลิตภัณฑ์</t>
  </si>
  <si>
    <t>สำนักงานจังหวัดอ่างทอง และกระทรวงวิทยาศาสตร์และเทคโนโลยี</t>
  </si>
  <si>
    <t>4.การแปรรูป การเพิ่มและสร้างคุณค่า</t>
  </si>
  <si>
    <t>4.1 วิจัยการแปรรูปผลผลิตทางการเกษตร และพัฒนาบรรจุภัณฑ์</t>
  </si>
  <si>
    <t>4.1.1 ส่งเสริมการใช้นวัตกรรมสร้างผลิตภัณฑ์จากกล้วย</t>
  </si>
  <si>
    <t>4.1.1.1 ค่าจ้างพนักงาน</t>
  </si>
  <si>
    <t>4.1.1.3 ค่าวัสดุฝึกอบรม</t>
  </si>
  <si>
    <t>4.2 พัฒนาปรับปรุงคุณภาพของพัฒนาบรรจุภัณฑ์ให้มีความเหมาะสม</t>
  </si>
  <si>
    <t xml:space="preserve">4.2.1 พัฒนาบรรจุภัณฑ์ </t>
  </si>
  <si>
    <t xml:space="preserve">สนง.อุตสาหกรรมจังหวัดอ่างทอง </t>
  </si>
  <si>
    <t>5.การพัฒนาระบบตลาด</t>
  </si>
  <si>
    <t xml:space="preserve">5.1 พัฒนาศักยภาพและเพิ่มขีดความสามารถการตลาดเชิงรุก </t>
  </si>
  <si>
    <t>5.1.1 จัดมหกรรมครัวสุขภาพเพื่อมหานคร</t>
  </si>
  <si>
    <t>สนง.พาณิชย์จังหวัดอ่างทอง</t>
  </si>
  <si>
    <t xml:space="preserve">5.1.2 การทำการตลาดเชิงรุก (Road show) </t>
  </si>
  <si>
    <t xml:space="preserve">5.3 ส่งเสริมการบริโภคตลาดภายในกลุ่มจังหวัด
</t>
  </si>
  <si>
    <t>5.3.1 ส่งเสริมการบริโภคผลผลิตที่ผลิตได้ในจังหวัด/กลุ่มจังหวัด</t>
  </si>
  <si>
    <t>6.การขนส่งสินค้าและจัดการบริหารสินค้า (Logistic)</t>
  </si>
  <si>
    <t>6.1 พัฒนาศูนย์รวบรวม และกระจายผลผลิต</t>
  </si>
  <si>
    <t>6.1.1 พัฒนาการรวบรวม และขนส่งผลผลิต</t>
  </si>
  <si>
    <t xml:space="preserve">6.1.1.1 พัฒนาระบบรวบรวมและการขนส่งผลผลิต </t>
  </si>
  <si>
    <t xml:space="preserve">6.1.1.2 ปรับปรุงศูนย์รวบรวมผลผลิตและจัดหาอุปกรณ์ </t>
  </si>
  <si>
    <t>สนง.เกษตรและสหกรณ์จังหวัดอ่างทอง</t>
  </si>
  <si>
    <t>6.3 พัฒนาระบบฐานข้อมูลย้อนกลับเพื่อการตรวจสอบคุณภาพสินค้า</t>
  </si>
  <si>
    <t>6.3.1 จัดทำฐานข้อมูลผู้ผลิต และจัดทำApplication การตรวจสอบข้อมูลย้อนกล้บของสินค้า</t>
  </si>
  <si>
    <t>7.1 ปรับปรุงระบบบริหารจัดการขยะจังหวัดอ่างทอง</t>
  </si>
  <si>
    <t>7.1.1 ก่อสร้างถนน คสล. พร้อมระบบระบายน้ำและปรับปรุงถนนโดยรอบศูนย์ฯ</t>
  </si>
  <si>
    <t>7.1.2 จัดซื้อรถแทรกเตอร์ตีนตะขาบ 1 คัน รถขุดดินตีนตะขาบ 1 คัน รถบรรทุกขยะ 
4 คัน</t>
  </si>
  <si>
    <t>7.4. ปรับปรุงเขื่อนป้องกันตลิ่ง หมู่ 2 ตำบลไชโย อำเภอไชโย จังหวัดอ่างทอง</t>
  </si>
  <si>
    <t>7.5 ปรับปรุงเขื่อนป้องกันตลิ่ง หมู่ 4 ตำบลราชสถิตย์ อำเภอไชโย จังหวัดอ่างทอง</t>
  </si>
  <si>
    <t>7.7 ปรับปรุงเขื่อนป้องกันตลิ่ง หมู่ 2 ตำบลหลักฟ้า อำเภอไชโย จังหวัดอ่างทอง</t>
  </si>
  <si>
    <t>7.9 ปรับปรุงเขื่อนป้องกันตลิ่ง หมู่ 4 ตำบลย่านซื่อ อำเภอเมือง จังหวัดอ่างทอง</t>
  </si>
  <si>
    <t>7.10 ปรับปรุงซ่อมแซมถนนภายในหมู่บ้าน หมู่ 2,3 ตำบลวังน้ำเย็น อำเภอแสวงหา</t>
  </si>
  <si>
    <t>7.11 ก่อสร้างถนนคอนกรีตเสริมเหล็กภายในหมู่บ้าน หมู่ 5 ตำบลวังน้ำเย็น อำเภอแสวงหา</t>
  </si>
  <si>
    <t>7.12 ปรับปรุงขยายท่อเมนประปาหมู่บ้านหมู่ที่ 6 ตำบลวังน้ำเย็น อำเภอแสวงหา</t>
  </si>
  <si>
    <t>โครงการท่องเที่ยวอารยธรรมวิถีไทยลุ่มแม่น้ำเจ้าพระยาป่าสัก</t>
  </si>
  <si>
    <t>1.วางแผนยุทธศาสตร์การท่องเที่ยว</t>
  </si>
  <si>
    <t xml:space="preserve"> 1.1 พัฒนาฐานข้อมูลมรดกทางวัฒนธรรมด้านสถาปัตยกรรม ภูมิสถาปัตยกรรม
และคติชนวิทยาในกลุ่มภาคกลางตอนบน 2</t>
  </si>
  <si>
    <t>สนง.การท่องเที่ยวและกีฬาจังหวัดอ่างทอง</t>
  </si>
  <si>
    <t>1.4 สร้างความเชื่อมั่นด้านความปลอดภัยในชีวิตและทรัพย์สิน</t>
  </si>
  <si>
    <t>1.4.1 จัดตั้งศูนย์ควบคุมความปลอดภัยและบริการนักท่องเที่ยว</t>
  </si>
  <si>
    <t xml:space="preserve"> - ก่อสร้างอาคารศูนย์ควบคุมความปลอดภัยและบริการนักท่องเที่ยว</t>
  </si>
  <si>
    <t xml:space="preserve"> - ติดตั้งกล้อง CCTV </t>
  </si>
  <si>
    <t>3.พัฒนาแหล่งท่องเที่ยวและกิจกรรมกรรมการท่องเที่ยว</t>
  </si>
  <si>
    <t>3.3 พัฒนาโครงสร้างพื้นฐาน (ถนน และสิ่งอำนวยความสะดวกบริการแก่นักท่องเที่ยว)</t>
  </si>
  <si>
    <t>3.3.1 ป้ายบอกทางและสื่อความหมายในแหล่งท่องเที่ยว</t>
  </si>
  <si>
    <t>3.3.1.1 ติดตั้งป้ายแนะนำแหล่งท่องเที่ยว สาย อท.4002 (วัดไชโยวรวิหาร) 1 แห่ง</t>
  </si>
  <si>
    <t>3.3.1.6 ติดตั้งป้ายแนะนำแหล่งท่องเที่ยว ทางหลวงหมายเลข 32  
(โครงการฟาร์มตัวอย่างตามพระราชดำริหนองระหารจีน) 1 แห่ง</t>
  </si>
  <si>
    <t xml:space="preserve">3.3.1.7 ติดตั้งป้ายแนะนำแหล่งท่องเที่ยว สาย อท. 2040 
(โครงการฟาร์มตัวอย่างตามพระราชดำริหนองระหารจีน) 1 แห่ง </t>
  </si>
  <si>
    <t>3.3.1.8 ติดตั้งป้ายแนะนำแหล่งท่องเที่ยว ทางหลวงหมายเลข 3064  
(โครงการฟาร์มตัวอย่างตามพระราชดำริสีบัวทอง) 1 แห่ง</t>
  </si>
  <si>
    <t>แขวงทางหลวงอ่างทอง</t>
  </si>
  <si>
    <t xml:space="preserve">3.3.5 ก่อสร้างถนน คสล. หมู่ 7,8,9 ตำบลรำมะสัก อำเภอโพธิ์ทอง เชื่อมต่อ 
ตำบลวังน้ำเย็น อำเภอแสวงหา </t>
  </si>
  <si>
    <t>3.3.8 ก่อสร้างถนน คสล. หมู่ 6 ตำบลอบทม อำเภอสามโก้ เชื่อมต่อหมู่ 3
ตำบลสาวร้องไห้ อำเภอวิเศษชัยชาญ (ยอดจริง 6,069,000 บาท)</t>
  </si>
  <si>
    <t xml:space="preserve">3.3.11 ก่อสร้างถนน คสล.หมู่ที่ 2,5 ตำบลไผ่วง อำเภอวิเศษชัยชาญ </t>
  </si>
  <si>
    <t>3.3.12 ก่อสร้างถนน คสล. เชื่อมต่อระหว่างหมู่ 3 ตำบลโคกพุทรา-หมู่ 5 
ตำบลบางเจ้าฉ่า อำเภอโพธิ์ทอง</t>
  </si>
  <si>
    <t xml:space="preserve">3.4 สร้างกิจกรรมท่องเที่ยวใหม่ ๆ ให้สอดคล้องกับความสนใจ </t>
  </si>
  <si>
    <t>3.4.1 จัดกิจกรรมสร้างแรงดึงดูดนักท่องเที่ยว</t>
  </si>
  <si>
    <t>3.4.1.1 จัดงานอ่างทอง 5 ที่สุด สิ่งศักดิ์สิทธิ์</t>
  </si>
  <si>
    <t>3.6 ส่งเสริม/ อนุรักษ์/ ฟื้นฟู/ ปรับปรุง/ บูรณะ/ พัฒนาแหล่งท่องเที่ยว</t>
  </si>
  <si>
    <t>3.6.1 พัฒนาแหล่งท่องเที่ยวที่สำคัญในจังหวัดอ่างทอง</t>
  </si>
  <si>
    <t>3.6.1.1  ปรับปรุงภูมิทัศน์บริเวณวัดขุนอินทประมูล ตำบลอินทประมูล อำเภอโพธิ์ทอง</t>
  </si>
  <si>
    <t>สนง.โยธาธิการและผังเมืองจังหวัดอ่างทอง</t>
  </si>
  <si>
    <t>3.6.1.3 ปรับปรุงภูมิทัศน์ สิ่งอำนวยความสะดวก บริเวณวัดจันทรังษี อำเภอเมือง จังหวัดอ่างทอง</t>
  </si>
  <si>
    <t xml:space="preserve">    - ปรับปรุงเส้นทาง สร้างเกาะกลางถนนแบบยกเกาะ สาย 3195 
    ตอนแยกวิเศษชัยชาญ - แยกป่างิ้ว อำเภอเมือง จังหวัดอ่างทอง  </t>
  </si>
  <si>
    <t>3.6.1.5 ปรับปรุงภูมิทัศน์และสิ่งอำนวยความสะดวก วัดไชโยวรวิหาร อำเภอไชโย จังหวัดอ่างทอง</t>
  </si>
  <si>
    <t xml:space="preserve">    - สร้างศาลาคลุมทางเดินริมเขื่อนบริเวณวัดไชโยวรวิหาร อำเภอไชโย</t>
  </si>
  <si>
    <t xml:space="preserve">    - ก่อสร้างห้องน้ำและสิ่งอำนวยความสะดวกแก่นักท่องเที่ยว</t>
  </si>
  <si>
    <t>อำเภอป่าโมก</t>
  </si>
  <si>
    <t xml:space="preserve">    - ปรับปรุงภูมิทัศน์และสิ่งอำนวยความสะดวก</t>
  </si>
  <si>
    <t xml:space="preserve">     -  ปรับปรุงภูมิทัศน์และสิ่งอำนวยความสะดวก</t>
  </si>
  <si>
    <t xml:space="preserve">     - ปรับปรุงอาคารอเนกประสงค์เทิดพระเกียรติ</t>
  </si>
  <si>
    <t>3.7 ยกระดับคุณภาพสิ่งอำนวยความสะดวกในสถานที่ท่องเที่ยว</t>
  </si>
  <si>
    <t>4.พัฒนาธุรกิจบริการการท่องเที่ยว</t>
  </si>
  <si>
    <t>4.2 พัฒนามาตรฐานธุรกิจบริการที่เกี่ยวเนื่องกับการท่องเที่ยว</t>
  </si>
  <si>
    <t>4.2.1  ออกแบบจัดสร้างร้านจำหน่ายสินค้าตลาดย้อนยุค  แบบโมบาย จำนวน 20 ร้าน</t>
  </si>
  <si>
    <t>สนง.พัฒนาชุมชนจังหวัดอ่างทอง</t>
  </si>
  <si>
    <t>4.3 พัฒนามาตรฐานสินค้าของฝากและของที่ระลึก</t>
  </si>
  <si>
    <t xml:space="preserve">4.3.1 พัฒนาผลิตภัณฑ์ชุมชนเพื่อการท่องเที่ยวและเพิ่มช่องทางการตลาด
</t>
  </si>
  <si>
    <t>5.พัฒนาการตลาดและประชาสัมพันธ์</t>
  </si>
  <si>
    <t>5.2 ประชาสัมพันธ์สร้างภาพลักษณ์</t>
  </si>
  <si>
    <t>5.2.1 จัดทำสื่อประชาสัมพันธ์ส่งเสริมการท่องเที่ยว</t>
  </si>
  <si>
    <t xml:space="preserve"> 5.2.1.1 ประชาสัมพันธ์ Story ส่งเสริมการท่องเที่ยวเชิงรุกกลุ่มจังหวัดภาคกลางตอนบน 2 (จังหวัดอ่างทองเป็นเจ้าภาพกลุ่มจังหวัด)</t>
  </si>
  <si>
    <t>5.2.2 จัดทำสื่อประชาสัมพันธ์กิจกรรมท่องเที่ยว (ป้ายbillboard+เอกสารประชาสัมพันธ์)</t>
  </si>
  <si>
    <t>รวมทั้งสิ้น</t>
  </si>
  <si>
    <t>เบิกจ่าย</t>
  </si>
  <si>
    <t>3.6.1.4 ปรับปรุงภูมิทัศน์และสิ่งอำนวยความสะดวก บริเวณวัดม่วง 
อำเภอวิเศษชัยชาญ จังหวัดอ่างทอง</t>
  </si>
  <si>
    <t>1.2.2.1 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
ตำบลอ่างแก้ว อำเภอโพธิ์ทอง</t>
  </si>
  <si>
    <t>1.2.2.3 ก่อสร้างถนน คสล.หมู่ 3 บ้านดอนตูม ตำบลรำมะสัก เชื่อมต่อหมู่ 5 ตำบลยางช้าย อำเภอโพธิ์ทอง</t>
  </si>
  <si>
    <t>7.2 ปรับปรุงคันกั้นน้ำ หมู่ 3 และ หมู่ 4 ตำบลโผงเผง อำเภอป่าโมก 
จังหวัดอ่างทอง</t>
  </si>
  <si>
    <t>7.3 ปรับปรุงคันกั้นน้ำ หมู่ 5 และ หมู่ 6 ตำบลโผงเผง อำเภอป่าโมก 
จังหวัดอ่างทอง</t>
  </si>
  <si>
    <t>1.1.1  ศึกษาแหล่งท่องเที่ยวเพื่อจัดทำ Story ส่งเสริมการท่องเที่ยวเชิงรุกกลุ่มจังหวัดภาคกลางตอนบน 2 (จังหวัดอ่างทองเป็นเจ้าภาพกลุ่มจังหวัด)</t>
  </si>
  <si>
    <t xml:space="preserve">3.3.1.2 ติดตั้งป้ายแนะนำแหล่งท่องเที่ยว สาย อท.3003
 (วัดขุนอินทประมูล) 1 แห่ง </t>
  </si>
  <si>
    <t>3.3.1.4 ติดตั้งป้ายแนะนำแหล่งท่องเที่ยว ทางหลวงหมายเลข 3195 
(วัดม่วง) 1 แห่ง</t>
  </si>
  <si>
    <t>3.3.1.5 ติดตั้งป้ายแนะนำแหล่งท่องเที่ยว ทางหลวงหมายเลข 3501 
 (วัดป่าโมกวรวิหาร) 1 แห่ง</t>
  </si>
  <si>
    <t xml:space="preserve">3.3.1.3 ติดตั้งป้ายแนะนำแหล่งท่องเที่ยว สาย อท.2040 (วัดจันทรังษี)
 1 แห่ง </t>
  </si>
  <si>
    <t>3.3.6 ก่อสร้างถนนลาดยางสายเชื่อมต่อระหว่างหนองคันไชย หมู่ 3  
ตำบลโคกพุทรา-หมู่ 3 ตำบลหนองแม่ไก่ อำเภอโพธิ์ทอง</t>
  </si>
  <si>
    <t>3.3.4 ปรับปรุงภูมิทัศน์เกาะกลางถนนสาย ทล.334 จากแยกต่างระดับ
สายเอเชีย-สี่แยกบ้านรอ</t>
  </si>
  <si>
    <t xml:space="preserve">3.3.7 ก่อสร้างถนน คสล.หมู่ 7 ตำบลมงคลธรรมนิมิต อำเภอสามโก้ เชื่อมต่อหมู่ 7 ตำบลรำมะสัก อำเภอโพธิ์ทอง </t>
  </si>
  <si>
    <t>3.3.9 ก่อสร้างปรับปรุงซ่อมแซมผิวจราจรถนนปู่ดอก-ปู่ทองแก้ว ตั้งแต่ถนนโพธิ์พระยา-ท่าเรือ ถึงถนนปู่ดอก-ปู่ทองแก้ว 21 ตำบลไผ่จำศีล 
อำเภอวิเศษชัยชาญ</t>
  </si>
  <si>
    <t>3.3.10 ก่อสร้างถนนคสล. หมู่ที่ 2  ตำบลสาวร้องไห้ อำเภอวิเศษชัยชาญ ช่วงที่ 1 จากถนนลาดยางสายสาวร้องไห้-ไผ่วง ถึงหมู่บ้านตาลหัก ช่วงที่ 2 จากหลังโบสถ์วัดสิทฯ ถึง อบตำบลสาวร้องไห้  (หลังเก่า)</t>
  </si>
  <si>
    <t xml:space="preserve">3.6.1.2 ติดตั้งไฟฟ้าแสงสว่างเพื่อความปลอดภัยสาย อท.3003 แยก 
ทล.309-บ.บางพลับ                        </t>
  </si>
  <si>
    <t xml:space="preserve">   - ติดตั้งไฟฟ้าแสงสว่างเพื่อความปลอดภัยสาย อท.2040 แยก 
ทล.32-บ.โรงช้าง</t>
  </si>
  <si>
    <t>3.6.1.6 ปรับปรุงภูมิทัศน์และสิ่งอำนวยความสะดวก  
บริเวณวัดป่าโมกวรวิหาร  อำเภอป่าโมก จังหวัดอ่างทอง</t>
  </si>
  <si>
    <t>3.3.1.7 ปรับปรุงภูมิทัศน์และสิ่งอำนวยความสะดวกโครงการแก้มลิง
หนองเจ็ดเส้น อำเภอป่าโมก จังหวัดอ่างทอง</t>
  </si>
  <si>
    <t>3.6.1.9 พัฒนาโครงการฟาร์มตัวอย่างตามพระราชดำริในสมเด็จพระนางเจ้าสิริกิติ์ พระบรมราชินีนาถ ตำบลสีบัวทอง อำเภอแสวงหา 
จังหวัดอ่างทอง</t>
  </si>
  <si>
    <t>3.7.1 ก่อสร้างห้องน้ำสาธารณะ บริเวณอนุสาวรีย์ปู่ดอก ปู่แก้ว 
ตำบลไผ่จำศีล อำเภอวิเศษชัยชาญ</t>
  </si>
  <si>
    <t>3.7.2 ปรับปรุงอาคารพลับพลาที่ประทับบริเวณอนุสาวรีย์นายดอก 
นายทองแก้ว หมู่ที่ 2 ตำบลไผ่จำศีล อำเภอวิเศษชัยชาญ</t>
  </si>
  <si>
    <t>ก่อสร้างถนนคอนกรีตเสริมเหล็กปูทับด้วยแอสฟัสท์ติกคอนกรีต 
(สายที่ 1) ตำบลเอกราช อำเภอป่าโมก จังหวัดอ่างทอง</t>
  </si>
  <si>
    <t>ก่อสร้างถนนคอนกรีตเสริมเหล็ก หมู่ที่ 10 ตำบลสีบัวทอง เชื่อมต่อ
หมู่ที่ 7 ตำบลแสวงหา อำเภอแสวงหา จังหวัดอ่างทอง</t>
  </si>
  <si>
    <t>ก่อสร้างถนนคอนกรีตเสริมเหล็ก หมู่ที่ 9 ตำบลบ้านพราน เชื่อมต่อ
หมู่ที่ 1 ตำบลวังน้ำเย็น อำเภอแสวงหา จังหวัดอ่างทอง</t>
  </si>
  <si>
    <t>ก่อสร้างสะพานคอนกรีตเสริมเหล็ก หมู่ที่ 2 ตำบลยางช้าย 
อำเภอโพธิ์ทอง จังหวัดอ่างทอง</t>
  </si>
  <si>
    <t>ส่งเสริมและพัฒนาฟาร์มตัวอย่างตามพระราชดำริ 
ในสมเด็จพระนางเจ้าฯ พระบรมราชินีนาถ หนองระหารจีน 
ตำบลบ้านอิฐ อำเภอเมืองอ่างทอง จังหวัดอ่างทอง</t>
  </si>
  <si>
    <t>ส่งเสริมและพัฒนาฟาร์มตัวอย่างตามพระราชดำริ
 ในสมเด็จพระนางเจ้าฯ พระบรมราชินีนาถ บ้านยางกลาง 
ตำบลสีบัวทอง อำเภอแสวงหา จังหวัดอ่างทอง</t>
  </si>
  <si>
    <t xml:space="preserve">8. กิจกรรมปรับปรุงบึงห้วยคล้า ตำบลสาวร้องไห้  อำเภอวิเศษชัยชาญ จังหวัดอ่างทอง </t>
  </si>
  <si>
    <t>4.4.7 โครงการวันพุธวันกีฬา จังหวัดอ่างทอง (Wednesday Sports Angthong)</t>
  </si>
  <si>
    <t>4.4.8 โครงการค่ายครอบครัว "สานใจไทย สู่ใจใต้" 
รุ่นที่ 30 จังหวัดอ่างทอง</t>
  </si>
  <si>
    <t>5.2.5 โครงการประชาสัมพันธ์กิจกรรมส่งเสริมการท่องเที่ยวจังหวัดอ่างทอง ประจำปีงบประมาณ 
พ.ศ. 2560</t>
  </si>
  <si>
    <t xml:space="preserve"> 1.2.1.1 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</t>
  </si>
  <si>
    <t>1.2.1.2 จัดหาแหล่งน้ำพร้อมระบบกระจาย ช่วยเหลือพื้นที่การเกษตรในเขต ตำบลราชสถิตย์,ตำบลเทวราช อำเภอไชโย</t>
  </si>
  <si>
    <t>1.2.2.2 ก่อสร้างถนนลาดยางคันคลองระบายใหญ่แม่น้ำน้อย 4 ฝั่งขวา (บ้านงิ้วราย-วัดคู) เขตพื้นที่ ตำบลยางช้าย อำเภอโพธิ์ทอง เชื่อมต่อ
 ตำบลม่วงเตี้ย อำเภอวิเศษชัยชาญ</t>
  </si>
  <si>
    <t>ตำรวจภูธรจังหวัดอ่างทอง</t>
  </si>
  <si>
    <t xml:space="preserve">    - ติดตั้งไฟฟ้าแสงสว่างเพื่อความปลอดภัยสาย อท.4002 แยก ทล.3064 บ.มหานาม</t>
  </si>
  <si>
    <t>3.6.1.8 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อำเภอเมือง จังหวัดอ่างทอง</t>
  </si>
  <si>
    <t>ห้างหุ้นส่วนจำกัดวายเฮาส์ คอนสตรัคชั่น</t>
  </si>
  <si>
    <t xml:space="preserve">เริ่ม 7 มี.ค.60
สิ้นสุด 29 มี.ค. 60 </t>
  </si>
  <si>
    <t>สนง.ท้องถิ่นจังหวัดอ่างทอง</t>
  </si>
  <si>
    <t>ก่อสร้างถนนคอนกรีตเสริมเหล็ก หมู่ที่ 1 ตำบลโพสะ อำเภอเมืองอ่างทอง 
เชื่อมต่อหมู่ 7 ตำบลสายทอง อำเภอป่าโมก จังหวัดอ่างทอง</t>
  </si>
  <si>
    <t xml:space="preserve">  - ปลูกต้นไม้</t>
  </si>
  <si>
    <t xml:space="preserve">  - ซ่อมแซมสะพาน</t>
  </si>
  <si>
    <t xml:space="preserve">  - ก่อสร้างสะพานทางโค้ง</t>
  </si>
  <si>
    <t>ข้อมูล ณ วันที่ 15 มีนาคม 2560</t>
  </si>
  <si>
    <t>ร้านวิเชียรการช่าง</t>
  </si>
  <si>
    <t>เริ่ม 21 ก.พ. 60 ถึง 2 มี.ค. 60</t>
  </si>
  <si>
    <t>ยกเลิกโครงการ
ลงนามไม่ทัน 31 มี.ค.60</t>
  </si>
  <si>
    <t>สำนักงานจังหวัด
(หน่วยงานฝ่ายบุคคล)</t>
  </si>
  <si>
    <t>4.4.9 โครงการสำรวจสำมะโนครัวเรือนเพื่อพัฒนาครอบครัวเป็นสุข ประจำปีงบประมาณ 2560</t>
  </si>
  <si>
    <t>สำนักงานพัฒนาสังคมและความมั่นคงของมนุษย์จังหวัดอ่างทอง</t>
  </si>
  <si>
    <t>เริ่ม 21 พ.ย.59 ถึง 20 ม.ค. 60 ขยายสัญญา สิ้นสุด 5 เม.ย.60</t>
  </si>
  <si>
    <t>1.6 โครงการพัฒนาการให้บริการของศูนย์ดำรงธรรมจังหวัดอ่างทอง</t>
  </si>
  <si>
    <t>สำนักงานจังหวัด
(กลุ่มงานอำนวยการ)</t>
  </si>
  <si>
    <t>7. ดำเนินกิจกรรมด้านการเกษตรและที่เกี่ยวข้องตามความต้องการและเพื่อแก้ไขปัญหาความเดือดร้อนของประชาชนในพื้นที่</t>
  </si>
  <si>
    <t>5.2.6 โครงการประชาสัมพันธ์กิจกรรมส่งเสริมการท่องเที่ยวจังหวัดอ่างทอง ประจำปีงบประมาณ 
พ.ศ. 2560 (ช่วงเดือนพฤษภาคม 2560)</t>
  </si>
  <si>
    <t>4.4.10 โครงการอำนวยการการจัดงานรัฐพิธีของจังหวัดอ่างทอง ประจำปีงบประมาณ 2560</t>
  </si>
  <si>
    <t>4.4.11 โครงการวันครอบครัวและรดน้ำขอพรผู้สูงอายุ จังหวัดอ่างทอง ประจำปีงบประมาณ 2560</t>
  </si>
  <si>
    <t>4.4.12 โครงการจัดงาน " รำลึก 111 ปี เสด็จประพาสต้นเมืองอ่างทอง</t>
  </si>
  <si>
    <t xml:space="preserve">    - จัดซื้อรถรางระบบไฟฟ้า 35 ที่นั่ง จำนวน 2 คัน</t>
  </si>
  <si>
    <t xml:space="preserve"> - เครื่องคอมพิวเตอร์พร้อมอุปกรณ์ครบชุด</t>
  </si>
  <si>
    <t xml:space="preserve"> - เครื่องพิมพ์ชนิดเลเซอร์</t>
  </si>
  <si>
    <t xml:space="preserve"> - โต๊ะวางคอมพิวเตอร์</t>
  </si>
  <si>
    <t xml:space="preserve"> - เก้าอี้สำนักงาน</t>
  </si>
  <si>
    <t xml:space="preserve"> - โต๊ะทำงาน</t>
  </si>
  <si>
    <t xml:space="preserve"> - ล็อกเกอร์ 18 ช่อง</t>
  </si>
  <si>
    <t xml:space="preserve"> - โต๊ะพับอเนกประสงค์</t>
  </si>
  <si>
    <t xml:space="preserve"> - ไวท์บอร์ดแม่เหล็ก</t>
  </si>
  <si>
    <t>4.1.1.2 ค่าเครื่องจักรพร้อมอุปกรณ์</t>
  </si>
  <si>
    <t xml:space="preserve"> - ตู้แช่แข็ง ขนาด 9.5 คิว</t>
  </si>
  <si>
    <t xml:space="preserve"> - 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 1.0000 เครื่อง</t>
  </si>
  <si>
    <t xml:space="preserve"> - เครื่องบดอาหาร ระบบไฟฟ้า มอเตอร์ 3 แรงม้า อัตโนมัติ</t>
  </si>
  <si>
    <t xml:space="preserve"> - โต๊ะแสตนเลสขากลม (กว้าง*ยาว*สูง) 80*180*80 ซม.</t>
  </si>
  <si>
    <t xml:space="preserve"> - ถังพลาสติกหมักวัตถุดิบ (ความจุ 300 ลิตร)</t>
  </si>
  <si>
    <t xml:space="preserve"> - เครื่องผสมอาหาร ระบบไฟฟ้า 1100 วัตต์ อัตโนมัติ ขนาด 20 ลิตร</t>
  </si>
  <si>
    <t xml:space="preserve"> - เตาทอดระบบไฟฟ้าตัดไฟฟ้าปรับอุณหภูมิ ขนาด 8+8 ลิตร 6000 วัตต์ </t>
  </si>
  <si>
    <t xml:space="preserve"> - ตู้อบพลังงานความร้อนทำงานด้วยแก๊สพร้อมอุปกรณ์</t>
  </si>
  <si>
    <t xml:space="preserve"> -  เครื่องสูบน้ำดีเซลขนาดไม่ต่ำกว่า 11 แรงม้า ท่อแสตนเลส ขนาด 8 นิ้ว ยาว 6 เมตร พร้อมอุปกรณ์ลากจูง</t>
  </si>
  <si>
    <t xml:space="preserve"> - เครื่องสูบน้ำเบนซินขนาดไม่ต่ำกว่า 6.5 แรงม้า ท่อขนาด 6 นิ้ว ยาว 4 เมตร</t>
  </si>
  <si>
    <t xml:space="preserve"> - เครื่องพ่นยาแรงดันสูงขนาดไม่ต่ำกว่า 6.5 แรงม้าพร้อมสายยาว 150 เมตร</t>
  </si>
  <si>
    <t xml:space="preserve"> - เครื่องตัดหญ้าเบนซิน 4 จังหวะ</t>
  </si>
  <si>
    <t xml:space="preserve"> - เรือแสตนเลสพร้อมอุปกรณ์ให้น้ำเครื่องยนต์เบนซิน ขนาดไม่ต่ำกว่า 6.5 แรงม้า</t>
  </si>
  <si>
    <t xml:space="preserve"> - โต๊ะหน้าพลาสติก</t>
  </si>
  <si>
    <t xml:space="preserve"> - คอมพิวเตอร์โน๊ตบุ๊ค</t>
  </si>
  <si>
    <t xml:space="preserve"> - ตู้เหล็ก 2 บาน</t>
  </si>
  <si>
    <t xml:space="preserve"> -  พันธุ์แพะ</t>
  </si>
  <si>
    <t xml:space="preserve"> -  เครื่องสูบโคลน เครื่องยนต์ดีเซล 4 จังหวะ 7 แรงม้า เส้นผ่านศูนย์กลางท่อดูด-ส่ง 3 นิ้ว</t>
  </si>
  <si>
    <t xml:space="preserve"> -  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อัตราความเร็วรอบ 1500 รอบต่อนาที</t>
  </si>
  <si>
    <t xml:space="preserve"> - เครื่องพ่นยาแบบสายสะพาย</t>
  </si>
  <si>
    <t xml:space="preserve"> -  ขุดแหล่งกักเก็บน้ำพร้อมปรับเกลี่ยดิน</t>
  </si>
  <si>
    <t xml:space="preserve"> - โรงเรือนอบแห้งพลังงานแสงอาทิตย์ ขนาด 6.00*8.20 ม. พร้อมอุปกรณ์</t>
  </si>
  <si>
    <t xml:space="preserve"> - จัดหารถบรรทุกห้องเย็นขนาด 2,500 CC</t>
  </si>
  <si>
    <t xml:space="preserve"> - โต๊ะแสตนแลส ขนาด 80*200*100 เซนติเมตร</t>
  </si>
  <si>
    <t xml:space="preserve"> - โต๊ะตะแกรงแสตนเลส ขนาด 80*200*100 ซม.</t>
  </si>
  <si>
    <t xml:space="preserve"> - 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</t>
  </si>
  <si>
    <t xml:space="preserve"> -  รถเข็นแสตนเลส ชั้นเดียว แฮนด์พับได้ 92*62*92 ซม. มีล้อขนาด 6 นิ้ว รับน้ำหนักได้ 350 กก.</t>
  </si>
  <si>
    <t xml:space="preserve"> - เก้าอี้แสตนเลสทรงกลมหมุนได้ 360 องศาเซลเซียส ปรับความสูงได้มีล้อเลื่อนเคลื่อนที่ได้</t>
  </si>
  <si>
    <t xml:space="preserve"> - ถังเก็บน้ำขนาด 1000 ลิตร วัสดุ PE (Polyethylene)</t>
  </si>
  <si>
    <t xml:space="preserve"> - เครื่องเป่ามือลมร้อนไฟ 2500 W</t>
  </si>
  <si>
    <t xml:space="preserve"> - เครื่องกรองน้ำระบบ R.O 5 ขั้นตอน อัตรากรอง 300 แกลลอน/วัน</t>
  </si>
  <si>
    <t xml:space="preserve"> - ไฟฉุกเฉิน LED Emergence light 12w,12v-7AH</t>
  </si>
  <si>
    <t xml:space="preserve"> - เครื่องพิมพ์ Multifunction ชนิดเลเซอร์/ชนิด LED สี</t>
  </si>
  <si>
    <t xml:space="preserve"> - อ่างน้ำแสตนเลส ขนาด 70*200*85 เซนติเมตร</t>
  </si>
  <si>
    <t xml:space="preserve"> - เครื่องปรับอากาศขนาด 30000 บีทียู</t>
  </si>
  <si>
    <t xml:space="preserve"> - อ่างแสตนเลส 2 หลุม ขนาด 70*180*85 ซม.</t>
  </si>
  <si>
    <t xml:space="preserve"> - อ่างแสตนเลส 3 หลุม ขนาด 80*200*100 ซม.</t>
  </si>
  <si>
    <t xml:space="preserve"> - 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</t>
  </si>
  <si>
    <t xml:space="preserve"> -  เครื่องชั่งดิจิตอลแบบตั้งโต๊ะ พิกัดน้ำหนักชั่งน้ำหนักได้สูงสุด
 1 กิโลกรัม ความละเอียดเครื่องชั่ง 0.2 กรัม</t>
  </si>
  <si>
    <t xml:space="preserve"> -  ชั้นวางแสตนเลส 3 ชั้น พื้นชั้นเป็นแสตนเลส แผ่นแสตนเลสหนา
 1.2 มิลลิลิตร ขนาด 60*200*170 เซนติเมตร</t>
  </si>
  <si>
    <t xml:space="preserve"> -  รถเข็นแสตนเลส 2 ขั้น ขนิดมือจับเดี่ยว 88*51*89 ซม.</t>
  </si>
  <si>
    <t xml:space="preserve"> - ตู้เย็น 5 คิว</t>
  </si>
  <si>
    <t xml:space="preserve"> - พัดลมตั้งพื้น ขนาด 22 นิ้ว</t>
  </si>
  <si>
    <t xml:space="preserve"> - เครื่องปรับอากาศขนาด 24000 บีทียู</t>
  </si>
  <si>
    <t xml:space="preserve"> - ปรับปรุงอาคารคัดบรรจุผลผลิตทางการเกษตร (ผลไม้)</t>
  </si>
  <si>
    <t xml:space="preserve"> - จัดหารถบรรทุกผักพร้อมคอก ขนาด 2,400 CC</t>
  </si>
  <si>
    <t>5.3.2 ติดตามประเมินผลโครงการ</t>
  </si>
  <si>
    <t>5.2.7 โครงการประชาสัมพันธ์การดำเนินโครงการตามแนวทางสร้างความข้มแข็งและยั่งยืนให้กับเศรษฐกิจภายในประเทศ ประจำปีงบประมาณ พ.ศ.2560 (เพิ่มเติม)</t>
  </si>
  <si>
    <t>4.4.13 โครงการอบรมวิทยากร (ครู ก ) วิธีการประดิษฐ์ดอกไม้จันทร์ (ดอกดารารัตน์) ต้นแบบ จังหวัดอ่างทอง</t>
  </si>
  <si>
    <t xml:space="preserve"> - อำเภอสามโก้</t>
  </si>
  <si>
    <t xml:space="preserve"> - อำเภอป่าโมก</t>
  </si>
  <si>
    <t>หจก.วี.เอส.แม็ชชิ่ง</t>
  </si>
  <si>
    <t>หจก.ต้องก่อสร้าง</t>
  </si>
  <si>
    <t>อยู่ระหว่างปรับรายละเอียดกิจกรรม</t>
  </si>
  <si>
    <t xml:space="preserve">สำนักงานการท่องเที่ยวและกีฬา
 - อำเภอไชโย     </t>
  </si>
  <si>
    <t>สำนักงานการท่องเที่ยวและกีฬา
 - อำเภอวิเศษชัยชาญ</t>
  </si>
  <si>
    <t xml:space="preserve">สำนักงานการท่องเที่ยวและกีฬา
 - อำเภอแสวงหา   </t>
  </si>
  <si>
    <t>สำนักงานการท่องเที่ยวและกีฬา
- อำเภอป่าโมก</t>
  </si>
  <si>
    <t>สำนักงานการท่องเที่ยวและกีฬา
- อำเภอไชโย</t>
  </si>
  <si>
    <t>2.1.1 ด้านพืชขออนุมัติจริง</t>
  </si>
  <si>
    <t>เริ่ม 5 พ.ค. 60 สิ้นสุด 3 ก.ค.60</t>
  </si>
  <si>
    <t>เริ่ม 25 เม.ย. 60 สิ้นสุด 20 ธ.ค. 60</t>
  </si>
  <si>
    <t>เริ่ม 24 เม.ย. 60 สิ้นสุด 23 มิ.ย. 60</t>
  </si>
  <si>
    <t>เริ่ม 24 เม.ย. 60 สิ้นสุด 24 พ.ค. 60</t>
  </si>
  <si>
    <t>เริ่ม 13 เม.ย. 60 สิ้นสุด 27 พ.ค. 60</t>
  </si>
  <si>
    <t>เริ่ม 13 เม.ย. 60 สิ้นสุด 11 มิ.ย. 60</t>
  </si>
  <si>
    <t>เริ่ม 26 เม.ย. 60 สิ้นสุด 25 ก.ค. 60</t>
  </si>
  <si>
    <t>เริ่ม 26 เม.ย. 60 สิ้นสุด 25 มิ.ย. 60</t>
  </si>
  <si>
    <t xml:space="preserve">    - ปรับปรุงขยายผิวจราจรแอสฟัลท์ติกคอนกรีตสาย ทางหลวงชนบท อท.2034 แยก ทล.32-บ.มหานาม (ตอนที่ 4)</t>
  </si>
  <si>
    <t>เริ่ม 25 เม.ย. 60 สิ้นสุด 23 ก.ค. 60</t>
  </si>
  <si>
    <t>เริ่ม 21 เม.ย. 60 สิ้นสุด 19 มิ.ย. 60</t>
  </si>
  <si>
    <t>ร้านออโต้ไอที</t>
  </si>
  <si>
    <t>ยกเลิก</t>
  </si>
  <si>
    <t>ยกเลิกโครงการ</t>
  </si>
  <si>
    <t xml:space="preserve">เริ่ม 19 พ.ค. 60 </t>
  </si>
  <si>
    <t>เริ่ม17 ธ.ค.59 สิ้นสุด 16 มี.ค. 60</t>
  </si>
  <si>
    <t>เริ่ม 29 ธ.ค.59 สิ้นสุด 27 มิ.ย. 60</t>
  </si>
  <si>
    <t>เริ่ม 30 ธ.ค.59 สิ้นสุด 15 ก.พ.60</t>
  </si>
  <si>
    <t>เริ่ม 30 ธ.ค.59 สิ้นสุด 10 ม.ค.60</t>
  </si>
  <si>
    <t>เริ่ม 16 พ.ย. 59 สิ้นสุด 13 ก.ย. 60</t>
  </si>
  <si>
    <t>เริ่ม 25 เม.ย. 60 สิ้นสุด 24 ก.ค. 60</t>
  </si>
  <si>
    <t>เริ่ม 25 เม.ย. 60สิ้นสุด 24 ก.ค. 60</t>
  </si>
  <si>
    <t>เริ่ม 29 พ.ย. 59 สิ้นสุด 28 ม.ค. 60</t>
  </si>
  <si>
    <t>เริ่ม 24 พ.ย. 59
สิ้นสุด 22 ก.พ. 60</t>
  </si>
  <si>
    <t>เริ่ม 10 ธ.ค.59 สิ้นสุด 9 มี.ค.60</t>
  </si>
  <si>
    <t>เริ่ม 28 ธ.ค. 59 สิ้นสุด 25 มิ.ย.60</t>
  </si>
  <si>
    <t>เริ่ม 16 ธ.ค. 59 สิ้นสุด 11 ต.ค.60</t>
  </si>
  <si>
    <t>เริ่ม 16 พ.ย. 59
สิ้นสุด 13 ก.พ. 60</t>
  </si>
  <si>
    <t>เริ่ม 26ธ.ค.59 สิ้นสุด 24 ก.พ.60</t>
  </si>
  <si>
    <t>เริ่ม 4 มี.ค.60
 สิ้นสุด 30 ส.ค. 60</t>
  </si>
  <si>
    <t>เริ่ม 25พ.ย. 59
 สิ้นสุด 15 ธ.ค. 59</t>
  </si>
  <si>
    <t>เริ่ม 27 ม.ค. 59สิ้นสุด 25 พ.ค. 60</t>
  </si>
  <si>
    <t>เริ่ม 28 พ.ย. 59สิ้นสุด 20 มี.ค. 60</t>
  </si>
  <si>
    <t>เริ่ม 30 พ.ย. 59สิ้นสุด 30 มี.ค. 60</t>
  </si>
  <si>
    <t>เริ่ม 28 พ.ย. 59สิ้นสุด 27 ม.ค. 60</t>
  </si>
  <si>
    <t>เริ่ม 30 พ.ย. 59
สิ้นสุด 27 ก.พ. 60</t>
  </si>
  <si>
    <t>เริ่ม 30 พ.ย. 59สิ้นสุด 25 ก.ย. 60</t>
  </si>
  <si>
    <t>เริ่ม 27 ธ.ค. 59
สิ้นสุด 25 เม.ย. 60</t>
  </si>
  <si>
    <t>เริ่ม 1 ธ.ค. 59
สิ้นสุด 28 ก.พ. 60</t>
  </si>
  <si>
    <t>เริ่ม 16 พ.ย. 59
สิ้นสุด 16 ม.ค. 60</t>
  </si>
  <si>
    <t xml:space="preserve">เริ่ม 22 พ.ย. 59 สิ้นสุด 19 ก.พ. 60 </t>
  </si>
  <si>
    <t>เริ่ม 28 พ.ย. 59
สิ้นสุด 28 ม.ค. 60</t>
  </si>
  <si>
    <t>เริ่ม 24 พ.ย. 59
สิ้นสุด 23 ธ.ค. 59</t>
  </si>
  <si>
    <t>เริ่ม 9 ธ.ค. 59 
สิ้นสุด 6 ก.พ. 60</t>
  </si>
  <si>
    <t>เริ่ม 24 ธ.ค. 59สิ้นสุด 22 เม.ย. 60</t>
  </si>
  <si>
    <t>เริ่ม 16 ธ.ค. 59สิ้นสุด 14 ก.พ. 60</t>
  </si>
  <si>
    <t>เริ่ม 16 ธ.ค. 59สิ้นสุด 16 มี.ค. 60</t>
  </si>
  <si>
    <t>เริ่ม 9 ธ.ค. 59 สิ้นสุด 6 ก.ค. 60</t>
  </si>
  <si>
    <t>เริ่ม 24 ก.พ. 60สิ้นสุด 28 เม.ย. 60</t>
  </si>
  <si>
    <t>1.2.1.3 จัดหาแหล่งน้ำพร้อมระบบกระจาย ช่วยเหลือพื้นที่การเกษตรในเขตตำบลสายทอง,ตำบลบางเสด็จ อำเภอป่าโมก</t>
  </si>
  <si>
    <t>1.2.1.4 จัดหาแหล่งน้ำพร้อมระบบกระจาย ช่วยเหลือพื้นที่การเกษตรในเขตตำบลรำมะสัก อำเภอโพธิ์ทอง</t>
  </si>
  <si>
    <t>1.2.1.5 จัดหาแหล่งน้ำพร้อมระบบกระจาย ช่วยเหลือพื้นที่การเกษตรในเขตตำบลวังน้ำเย็น อำเภอแสวงหา</t>
  </si>
  <si>
    <t>1.2.1.6 จัดหาแหล่งน้ำพร้อมระบบกระจาย ช่วยเหลือพื้นที่การเกษตรในเขตตำบลอบทม, ตำบลโพธิ์ม่วงพันธ์ อำเภอสามโก้</t>
  </si>
  <si>
    <t>1.2.1.7 จัดหาแหล่งน้ำพร้อมระบบกระจาย ช่วยเหลือพื้นที่การเกษตรในเขตตำบลสาวร้องไห้ อำเภอวิเศษชัยชาญ</t>
  </si>
  <si>
    <t>1.2.1.8 แก้มลิงสีบัวทอง พร้อมอาคารประกอบ ตำบลสีบัวทอง 
อำเภอแสวงหา จังหวัดอ่างทอง</t>
  </si>
  <si>
    <t xml:space="preserve">1.2.1.12 ปรับปรุงบึงลาดจินจาน พร้อมอาคารประกอบ ตำบลไผ่ดำพัฒนา อำเภอวิเศษชัยชาญ </t>
  </si>
  <si>
    <t>หจก.ประสิทธิ์รุ่งเรือง</t>
  </si>
  <si>
    <t>เริ่ม 15 พ.ค. 60 สิ้นสุด13 ส.ค.60</t>
  </si>
  <si>
    <t>เริ่ม 9 พ.ค. 60 สิ้นสุด 14 ส.ค.60</t>
  </si>
  <si>
    <t>เริ่ม 11 พ.ค. 60 สิ้นสุด 13 พ.ย. 60</t>
  </si>
  <si>
    <t>บริษัท ที ดี ดี ก่อสร้างจำกัด</t>
  </si>
  <si>
    <t>เริ่ม 9 พ.ค. 60 สิ้นสุด 20 พ.ย. 60</t>
  </si>
  <si>
    <t>หจก.พิษณุการุณ</t>
  </si>
  <si>
    <t>เริ่ม 5 พ.ค. 60 สิ้นสุด 25 พ.ค. 60</t>
  </si>
  <si>
    <t>บริษัท วิซ เวน เดอร์ จำกัด</t>
  </si>
  <si>
    <t>เริ่ม 15 พ.ย. 60 สิ้นสุด 13 พ.ย. 60</t>
  </si>
  <si>
    <t>หจก.เสนีย์อ่างทองก่อสร้าง</t>
  </si>
  <si>
    <t>ร้าน ทิพย์ เฟอร์นิเทค</t>
  </si>
  <si>
    <t>หจก.ต้อง ก่อสร้าง</t>
  </si>
  <si>
    <t>หจก.วี.เอส.
แมชชิ่ง</t>
  </si>
  <si>
    <t>7) ค่าเช่าเครื่องถ่ายเอกสาร 1 เครื่องๆ ละ 12 เดือนๆ ละ 1,3000 บาท</t>
  </si>
  <si>
    <t>ร้านปิยะผล 2</t>
  </si>
  <si>
    <t>บริษัท เพิ่มพูลทรัพย์อ่างทอง(1991) จำกัด</t>
  </si>
  <si>
    <t>หจก.ม่วงเตี้ยรุ่งเรือง</t>
  </si>
  <si>
    <t>บริษัท ดี พี เทรดดิ้ง จำกัด</t>
  </si>
  <si>
    <t>บริษัท คลีโนซอล ทราฟฟิค ประเทศไทย จำกัด</t>
  </si>
  <si>
    <t>เริ่ม 24 เม.ย. 60 สิ้นสุด 21 ก.ย. 60</t>
  </si>
  <si>
    <t>หจก.ชฎาธาร คอนสตรัคชั่น แอนด์ อิมปอร์ต เอ็กซ์ปอร์ต</t>
  </si>
  <si>
    <t>หจก.สองฝั่งการเกษตร</t>
  </si>
  <si>
    <t>นางรสริน รอดพิสา</t>
  </si>
  <si>
    <t>บริษัท วีรมาศการเกษตร จำกัด</t>
  </si>
  <si>
    <t>เริ่ม 24 เม.ย. 60 สิ้นสุด 9 พ.ค. 60</t>
  </si>
  <si>
    <t>ร้าน อุไร แดงนิ่ม โดยแดงนิ่ม</t>
  </si>
  <si>
    <t>นางสาวนุชลี ขวัญเกตุ</t>
  </si>
  <si>
    <t>ข้อมูล ณ วันที่ 26 พฤษภาคม 2560</t>
  </si>
  <si>
    <t>งบดำเนินการ</t>
  </si>
  <si>
    <t>วันที่ 29 พฤษภาคม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</si>
</sst>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&quot;-&quot;_-;_-@_-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rgb="FFFF0000"/>
      <name val="Angsana New"/>
      <family val="1"/>
    </font>
    <font>
      <b/>
      <sz val="12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5"/>
      <color theme="1"/>
      <name val="TH SarabunPSK"/>
      <family val="2"/>
    </font>
    <font>
      <sz val="10"/>
      <color rgb="FFFF0000"/>
      <name val="Tahoma"/>
      <family val="2"/>
      <charset val="222"/>
      <scheme val="minor"/>
    </font>
    <font>
      <sz val="16"/>
      <color theme="1"/>
      <name val="Angsana New"/>
      <family val="1"/>
    </font>
    <font>
      <sz val="10.5"/>
      <name val="TH SarabunPSK"/>
      <family val="2"/>
    </font>
    <font>
      <sz val="16"/>
      <color rgb="FFFF0000"/>
      <name val="Angsana New"/>
      <family val="1"/>
    </font>
    <font>
      <sz val="12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609">
    <xf numFmtId="0" fontId="0" fillId="0" borderId="0" xfId="0"/>
    <xf numFmtId="0" fontId="0" fillId="0" borderId="0" xfId="0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6" fillId="3" borderId="7" xfId="0" applyNumberFormat="1" applyFont="1" applyFill="1" applyBorder="1" applyAlignment="1">
      <alignment horizontal="center" vertical="top" wrapText="1"/>
    </xf>
    <xf numFmtId="0" fontId="6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wrapText="1"/>
    </xf>
    <xf numFmtId="43" fontId="7" fillId="3" borderId="3" xfId="13" applyFont="1" applyFill="1" applyBorder="1"/>
    <xf numFmtId="0" fontId="7" fillId="3" borderId="3" xfId="0" applyFont="1" applyFill="1" applyBorder="1"/>
    <xf numFmtId="0" fontId="13" fillId="3" borderId="3" xfId="0" applyFont="1" applyFill="1" applyBorder="1" applyAlignment="1">
      <alignment horizontal="center" wrapText="1"/>
    </xf>
    <xf numFmtId="43" fontId="7" fillId="3" borderId="3" xfId="13" applyFont="1" applyFill="1" applyBorder="1" applyAlignment="1">
      <alignment horizontal="right"/>
    </xf>
    <xf numFmtId="0" fontId="20" fillId="3" borderId="3" xfId="0" applyNumberFormat="1" applyFont="1" applyFill="1" applyBorder="1" applyAlignment="1">
      <alignment horizontal="center" vertical="top" wrapText="1"/>
    </xf>
    <xf numFmtId="41" fontId="6" fillId="3" borderId="3" xfId="0" applyNumberFormat="1" applyFont="1" applyFill="1" applyBorder="1" applyAlignment="1">
      <alignment horizontal="right" vertical="top" wrapText="1"/>
    </xf>
    <xf numFmtId="41" fontId="6" fillId="3" borderId="3" xfId="0" applyNumberFormat="1" applyFont="1" applyFill="1" applyBorder="1" applyAlignment="1">
      <alignment horizontal="right" vertical="center" wrapText="1"/>
    </xf>
    <xf numFmtId="41" fontId="4" fillId="3" borderId="3" xfId="0" applyNumberFormat="1" applyFont="1" applyFill="1" applyBorder="1" applyAlignment="1">
      <alignment horizontal="right" vertical="top" wrapText="1"/>
    </xf>
    <xf numFmtId="41" fontId="15" fillId="3" borderId="3" xfId="0" applyNumberFormat="1" applyFont="1" applyFill="1" applyBorder="1" applyAlignment="1">
      <alignment horizontal="right" vertical="top" wrapText="1"/>
    </xf>
    <xf numFmtId="41" fontId="15" fillId="3" borderId="3" xfId="0" applyNumberFormat="1" applyFont="1" applyFill="1" applyBorder="1" applyAlignment="1">
      <alignment horizontal="right" vertical="center" wrapText="1"/>
    </xf>
    <xf numFmtId="41" fontId="5" fillId="3" borderId="3" xfId="0" applyNumberFormat="1" applyFont="1" applyFill="1" applyBorder="1" applyAlignment="1">
      <alignment horizontal="right" vertical="top" wrapText="1"/>
    </xf>
    <xf numFmtId="189" fontId="15" fillId="3" borderId="3" xfId="0" applyNumberFormat="1" applyFont="1" applyFill="1" applyBorder="1" applyAlignment="1">
      <alignment horizontal="right" vertical="center" wrapText="1"/>
    </xf>
    <xf numFmtId="41" fontId="15" fillId="3" borderId="3" xfId="0" applyNumberFormat="1" applyFont="1" applyFill="1" applyBorder="1" applyAlignment="1">
      <alignment horizontal="left" vertical="center" wrapText="1"/>
    </xf>
    <xf numFmtId="0" fontId="0" fillId="0" borderId="0" xfId="0" applyBorder="1"/>
    <xf numFmtId="43" fontId="6" fillId="3" borderId="3" xfId="13" applyFont="1" applyFill="1" applyBorder="1" applyAlignment="1">
      <alignment horizontal="right" vertical="top" wrapText="1"/>
    </xf>
    <xf numFmtId="43" fontId="6" fillId="3" borderId="3" xfId="13" applyFont="1" applyFill="1" applyBorder="1" applyAlignment="1">
      <alignment horizontal="right" vertical="center" wrapText="1"/>
    </xf>
    <xf numFmtId="43" fontId="15" fillId="3" borderId="3" xfId="13" applyFont="1" applyFill="1" applyBorder="1" applyAlignment="1">
      <alignment horizontal="right" vertical="center" wrapText="1"/>
    </xf>
    <xf numFmtId="189" fontId="6" fillId="3" borderId="3" xfId="0" applyNumberFormat="1" applyFont="1" applyFill="1" applyBorder="1" applyAlignment="1">
      <alignment horizontal="right" vertical="center" wrapText="1"/>
    </xf>
    <xf numFmtId="41" fontId="4" fillId="3" borderId="3" xfId="0" applyNumberFormat="1" applyFont="1" applyFill="1" applyBorder="1" applyAlignment="1">
      <alignment horizontal="center" vertical="top" wrapText="1"/>
    </xf>
    <xf numFmtId="41" fontId="5" fillId="3" borderId="3" xfId="0" applyNumberFormat="1" applyFont="1" applyFill="1" applyBorder="1" applyAlignment="1">
      <alignment horizontal="center" vertical="top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2" xfId="0" applyNumberFormat="1" applyFont="1" applyFill="1" applyBorder="1" applyAlignment="1">
      <alignment horizontal="center" vertical="center" wrapText="1"/>
    </xf>
    <xf numFmtId="43" fontId="6" fillId="2" borderId="3" xfId="1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top"/>
    </xf>
    <xf numFmtId="0" fontId="14" fillId="5" borderId="3" xfId="5" applyFont="1" applyFill="1" applyBorder="1" applyAlignment="1">
      <alignment horizontal="center" vertical="center"/>
    </xf>
    <xf numFmtId="0" fontId="24" fillId="4" borderId="3" xfId="5" applyFont="1" applyFill="1" applyBorder="1" applyAlignment="1">
      <alignment horizontal="center" vertical="top"/>
    </xf>
    <xf numFmtId="0" fontId="24" fillId="4" borderId="3" xfId="5" applyFont="1" applyFill="1" applyBorder="1" applyAlignment="1">
      <alignment horizontal="left" wrapText="1"/>
    </xf>
    <xf numFmtId="43" fontId="24" fillId="4" borderId="3" xfId="15" applyFont="1" applyFill="1" applyBorder="1" applyAlignment="1">
      <alignment horizontal="right" vertical="top"/>
    </xf>
    <xf numFmtId="43" fontId="25" fillId="4" borderId="3" xfId="15" applyFont="1" applyFill="1" applyBorder="1" applyAlignment="1">
      <alignment horizontal="right" vertical="top"/>
    </xf>
    <xf numFmtId="2" fontId="25" fillId="4" borderId="3" xfId="5" applyNumberFormat="1" applyFont="1" applyFill="1" applyBorder="1" applyAlignment="1">
      <alignment horizontal="center" vertical="top"/>
    </xf>
    <xf numFmtId="43" fontId="24" fillId="4" borderId="3" xfId="5" applyNumberFormat="1" applyFont="1" applyFill="1" applyBorder="1" applyAlignment="1">
      <alignment horizontal="right" vertical="top"/>
    </xf>
    <xf numFmtId="0" fontId="24" fillId="4" borderId="3" xfId="5" applyFont="1" applyFill="1" applyBorder="1" applyAlignment="1">
      <alignment horizontal="center" vertical="top" wrapText="1"/>
    </xf>
    <xf numFmtId="0" fontId="14" fillId="5" borderId="3" xfId="5" applyFont="1" applyFill="1" applyBorder="1" applyAlignment="1">
      <alignment horizontal="center"/>
    </xf>
    <xf numFmtId="43" fontId="14" fillId="5" borderId="3" xfId="5" applyNumberFormat="1" applyFont="1" applyFill="1" applyBorder="1" applyAlignment="1">
      <alignment horizontal="right" vertical="top"/>
    </xf>
    <xf numFmtId="2" fontId="14" fillId="5" borderId="3" xfId="5" applyNumberFormat="1" applyFont="1" applyFill="1" applyBorder="1" applyAlignment="1">
      <alignment horizontal="center" vertical="top"/>
    </xf>
    <xf numFmtId="0" fontId="14" fillId="5" borderId="3" xfId="5" applyFont="1" applyFill="1" applyBorder="1" applyAlignment="1">
      <alignment horizontal="right" vertical="top"/>
    </xf>
    <xf numFmtId="41" fontId="6" fillId="2" borderId="3" xfId="0" applyNumberFormat="1" applyFont="1" applyFill="1" applyBorder="1" applyAlignment="1">
      <alignment horizontal="center" vertical="center" wrapText="1"/>
    </xf>
    <xf numFmtId="41" fontId="24" fillId="3" borderId="3" xfId="0" applyNumberFormat="1" applyFont="1" applyFill="1" applyBorder="1" applyAlignment="1">
      <alignment horizontal="center" vertical="top" wrapText="1"/>
    </xf>
    <xf numFmtId="41" fontId="6" fillId="2" borderId="12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43" fontId="9" fillId="3" borderId="3" xfId="13" applyFont="1" applyFill="1" applyBorder="1" applyAlignment="1">
      <alignment horizontal="right" wrapText="1"/>
    </xf>
    <xf numFmtId="43" fontId="9" fillId="3" borderId="3" xfId="13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43" fontId="9" fillId="3" borderId="3" xfId="0" applyNumberFormat="1" applyFont="1" applyFill="1" applyBorder="1" applyAlignment="1">
      <alignment horizontal="center"/>
    </xf>
    <xf numFmtId="2" fontId="9" fillId="3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center" wrapText="1"/>
    </xf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43" fontId="9" fillId="3" borderId="3" xfId="13" applyFont="1" applyFill="1" applyBorder="1"/>
    <xf numFmtId="0" fontId="9" fillId="3" borderId="3" xfId="0" applyFont="1" applyFill="1" applyBorder="1" applyAlignment="1">
      <alignment vertical="top"/>
    </xf>
    <xf numFmtId="0" fontId="9" fillId="3" borderId="3" xfId="0" applyFont="1" applyFill="1" applyBorder="1" applyAlignment="1">
      <alignment vertical="top" wrapText="1"/>
    </xf>
    <xf numFmtId="43" fontId="13" fillId="3" borderId="3" xfId="13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43" fontId="13" fillId="3" borderId="3" xfId="13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3" xfId="14" applyFont="1" applyFill="1" applyBorder="1" applyAlignment="1">
      <alignment vertical="top" wrapText="1"/>
    </xf>
    <xf numFmtId="0" fontId="12" fillId="3" borderId="3" xfId="14" applyFont="1" applyFill="1" applyBorder="1" applyAlignment="1">
      <alignment vertical="top" wrapText="1"/>
    </xf>
    <xf numFmtId="43" fontId="9" fillId="3" borderId="3" xfId="0" applyNumberFormat="1" applyFont="1" applyFill="1" applyBorder="1"/>
    <xf numFmtId="0" fontId="7" fillId="3" borderId="3" xfId="0" applyFont="1" applyFill="1" applyBorder="1" applyAlignment="1">
      <alignment horizontal="left" wrapText="1"/>
    </xf>
    <xf numFmtId="41" fontId="13" fillId="3" borderId="3" xfId="2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top" wrapText="1"/>
    </xf>
    <xf numFmtId="41" fontId="14" fillId="3" borderId="3" xfId="0" applyNumberFormat="1" applyFont="1" applyFill="1" applyBorder="1" applyAlignment="1">
      <alignment horizontal="right" vertical="top" wrapText="1"/>
    </xf>
    <xf numFmtId="43" fontId="14" fillId="3" borderId="3" xfId="13" applyFont="1" applyFill="1" applyBorder="1" applyAlignment="1">
      <alignment horizontal="right" vertical="top" wrapText="1"/>
    </xf>
    <xf numFmtId="3" fontId="6" fillId="3" borderId="3" xfId="0" applyNumberFormat="1" applyFont="1" applyFill="1" applyBorder="1" applyAlignment="1">
      <alignment horizontal="right" vertical="top" wrapText="1"/>
    </xf>
    <xf numFmtId="41" fontId="6" fillId="3" borderId="3" xfId="0" applyNumberFormat="1" applyFont="1" applyFill="1" applyBorder="1" applyAlignment="1">
      <alignment horizontal="center" vertical="top" wrapText="1"/>
    </xf>
    <xf numFmtId="3" fontId="4" fillId="3" borderId="3" xfId="1" applyNumberFormat="1" applyFont="1" applyFill="1" applyBorder="1" applyAlignment="1">
      <alignment vertical="top" wrapText="1"/>
    </xf>
    <xf numFmtId="41" fontId="6" fillId="3" borderId="3" xfId="1" applyNumberFormat="1" applyFont="1" applyFill="1" applyBorder="1" applyAlignment="1">
      <alignment horizontal="right" vertical="top" wrapText="1"/>
    </xf>
    <xf numFmtId="41" fontId="14" fillId="3" borderId="3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vertical="top" wrapText="1"/>
    </xf>
    <xf numFmtId="0" fontId="15" fillId="3" borderId="3" xfId="0" applyNumberFormat="1" applyFont="1" applyFill="1" applyBorder="1" applyAlignment="1">
      <alignment horizontal="center" vertical="top" wrapText="1"/>
    </xf>
    <xf numFmtId="41" fontId="15" fillId="3" borderId="3" xfId="0" applyNumberFormat="1" applyFont="1" applyFill="1" applyBorder="1" applyAlignment="1">
      <alignment horizontal="left" vertical="top" wrapText="1"/>
    </xf>
    <xf numFmtId="41" fontId="24" fillId="3" borderId="3" xfId="0" applyNumberFormat="1" applyFont="1" applyFill="1" applyBorder="1" applyAlignment="1">
      <alignment horizontal="right" vertical="top" wrapText="1"/>
    </xf>
    <xf numFmtId="41" fontId="24" fillId="3" borderId="3" xfId="2" applyNumberFormat="1" applyFont="1" applyFill="1" applyBorder="1" applyAlignment="1">
      <alignment horizontal="right" vertical="top" wrapText="1"/>
    </xf>
    <xf numFmtId="41" fontId="5" fillId="3" borderId="3" xfId="2" applyNumberFormat="1" applyFont="1" applyFill="1" applyBorder="1" applyAlignment="1">
      <alignment horizontal="center" vertical="center" wrapText="1"/>
    </xf>
    <xf numFmtId="41" fontId="5" fillId="3" borderId="3" xfId="0" applyNumberFormat="1" applyFont="1" applyFill="1" applyBorder="1" applyAlignment="1">
      <alignment horizontal="center" vertical="center" wrapText="1"/>
    </xf>
    <xf numFmtId="41" fontId="25" fillId="3" borderId="3" xfId="0" applyNumberFormat="1" applyFont="1" applyFill="1" applyBorder="1" applyAlignment="1">
      <alignment horizontal="right" vertical="top" wrapText="1"/>
    </xf>
    <xf numFmtId="43" fontId="24" fillId="3" borderId="3" xfId="13" applyFont="1" applyFill="1" applyBorder="1" applyAlignment="1">
      <alignment horizontal="right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1" fontId="24" fillId="3" borderId="3" xfId="2" applyNumberFormat="1" applyFont="1" applyFill="1" applyBorder="1" applyAlignment="1">
      <alignment horizontal="right" vertical="top"/>
    </xf>
    <xf numFmtId="41" fontId="26" fillId="3" borderId="3" xfId="2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vertical="top" wrapText="1"/>
    </xf>
    <xf numFmtId="41" fontId="24" fillId="3" borderId="3" xfId="1" applyNumberFormat="1" applyFont="1" applyFill="1" applyBorder="1" applyAlignment="1">
      <alignment horizontal="right" vertical="top" wrapText="1"/>
    </xf>
    <xf numFmtId="41" fontId="5" fillId="3" borderId="3" xfId="1" applyNumberFormat="1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center" vertical="top" wrapText="1"/>
    </xf>
    <xf numFmtId="41" fontId="24" fillId="3" borderId="3" xfId="0" applyNumberFormat="1" applyFont="1" applyFill="1" applyBorder="1" applyAlignment="1">
      <alignment horizontal="right" vertical="top"/>
    </xf>
    <xf numFmtId="43" fontId="14" fillId="3" borderId="3" xfId="13" applyFont="1" applyFill="1" applyBorder="1" applyAlignment="1">
      <alignment horizontal="right" vertical="top"/>
    </xf>
    <xf numFmtId="3" fontId="4" fillId="3" borderId="3" xfId="1" applyNumberFormat="1" applyFont="1" applyFill="1" applyBorder="1" applyAlignment="1">
      <alignment horizontal="center" vertical="top"/>
    </xf>
    <xf numFmtId="3" fontId="4" fillId="3" borderId="3" xfId="1" applyNumberFormat="1" applyFont="1" applyFill="1" applyBorder="1" applyAlignment="1">
      <alignment horizontal="center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24" fillId="3" borderId="5" xfId="2" applyNumberFormat="1" applyFont="1" applyFill="1" applyBorder="1" applyAlignment="1">
      <alignment horizontal="right" vertical="top" wrapText="1"/>
    </xf>
    <xf numFmtId="41" fontId="5" fillId="3" borderId="3" xfId="2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41" fontId="15" fillId="3" borderId="9" xfId="0" applyNumberFormat="1" applyFont="1" applyFill="1" applyBorder="1" applyAlignment="1">
      <alignment vertical="top" wrapText="1"/>
    </xf>
    <xf numFmtId="43" fontId="24" fillId="3" borderId="3" xfId="13" applyFont="1" applyFill="1" applyBorder="1" applyAlignment="1">
      <alignment horizontal="right" wrapText="1"/>
    </xf>
    <xf numFmtId="41" fontId="24" fillId="3" borderId="3" xfId="0" applyNumberFormat="1" applyFont="1" applyFill="1" applyBorder="1" applyAlignment="1">
      <alignment horizontal="right" wrapText="1"/>
    </xf>
    <xf numFmtId="41" fontId="15" fillId="3" borderId="3" xfId="0" applyNumberFormat="1" applyFont="1" applyFill="1" applyBorder="1" applyAlignment="1">
      <alignment horizontal="left" vertical="top"/>
    </xf>
    <xf numFmtId="41" fontId="15" fillId="3" borderId="3" xfId="3" applyNumberFormat="1" applyFont="1" applyFill="1" applyBorder="1" applyAlignment="1">
      <alignment horizontal="left" vertical="top" wrapText="1"/>
    </xf>
    <xf numFmtId="41" fontId="24" fillId="3" borderId="3" xfId="4" applyNumberFormat="1" applyFont="1" applyFill="1" applyBorder="1" applyAlignment="1">
      <alignment horizontal="right" vertical="top" wrapText="1"/>
    </xf>
    <xf numFmtId="49" fontId="5" fillId="3" borderId="3" xfId="3" applyNumberFormat="1" applyFont="1" applyFill="1" applyBorder="1" applyAlignment="1">
      <alignment horizontal="center" vertical="top" wrapText="1"/>
    </xf>
    <xf numFmtId="41" fontId="14" fillId="3" borderId="9" xfId="1" applyNumberFormat="1" applyFont="1" applyFill="1" applyBorder="1" applyAlignment="1">
      <alignment horizontal="right" vertical="top" wrapText="1"/>
    </xf>
    <xf numFmtId="41" fontId="5" fillId="3" borderId="9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center" vertical="top" wrapText="1"/>
    </xf>
    <xf numFmtId="41" fontId="5" fillId="3" borderId="3" xfId="1" applyNumberFormat="1" applyFont="1" applyFill="1" applyBorder="1" applyAlignment="1">
      <alignment horizontal="center" vertical="center" wrapText="1"/>
    </xf>
    <xf numFmtId="187" fontId="5" fillId="3" borderId="3" xfId="2" applyNumberFormat="1" applyFont="1" applyFill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43" fontId="25" fillId="3" borderId="3" xfId="13" applyFont="1" applyFill="1" applyBorder="1" applyAlignment="1">
      <alignment horizontal="right" vertical="top" wrapText="1"/>
    </xf>
    <xf numFmtId="49" fontId="17" fillId="3" borderId="3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/>
    </xf>
    <xf numFmtId="41" fontId="15" fillId="3" borderId="2" xfId="0" applyNumberFormat="1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41" fontId="24" fillId="3" borderId="3" xfId="1" applyNumberFormat="1" applyFont="1" applyFill="1" applyBorder="1" applyAlignment="1">
      <alignment horizontal="right" vertical="top"/>
    </xf>
    <xf numFmtId="188" fontId="4" fillId="3" borderId="3" xfId="1" applyNumberFormat="1" applyFont="1" applyFill="1" applyBorder="1" applyAlignment="1">
      <alignment horizontal="center" vertical="top" wrapText="1"/>
    </xf>
    <xf numFmtId="0" fontId="15" fillId="3" borderId="5" xfId="0" applyNumberFormat="1" applyFont="1" applyFill="1" applyBorder="1" applyAlignment="1">
      <alignment horizontal="center" vertical="top" wrapText="1"/>
    </xf>
    <xf numFmtId="41" fontId="15" fillId="3" borderId="4" xfId="3" applyNumberFormat="1" applyFont="1" applyFill="1" applyBorder="1" applyAlignment="1">
      <alignment horizontal="left" vertical="top" wrapText="1"/>
    </xf>
    <xf numFmtId="41" fontId="24" fillId="3" borderId="9" xfId="4" applyNumberFormat="1" applyFont="1" applyFill="1" applyBorder="1" applyAlignment="1">
      <alignment horizontal="right" vertical="top" wrapText="1"/>
    </xf>
    <xf numFmtId="41" fontId="24" fillId="3" borderId="9" xfId="1" applyNumberFormat="1" applyFont="1" applyFill="1" applyBorder="1" applyAlignment="1">
      <alignment horizontal="right" vertical="top" wrapText="1"/>
    </xf>
    <xf numFmtId="49" fontId="17" fillId="3" borderId="3" xfId="3" applyNumberFormat="1" applyFont="1" applyFill="1" applyBorder="1" applyAlignment="1">
      <alignment horizontal="center" vertical="top" wrapText="1"/>
    </xf>
    <xf numFmtId="41" fontId="15" fillId="3" borderId="2" xfId="3" applyNumberFormat="1" applyFont="1" applyFill="1" applyBorder="1" applyAlignment="1">
      <alignment horizontal="left" vertical="top" wrapText="1"/>
    </xf>
    <xf numFmtId="49" fontId="18" fillId="3" borderId="3" xfId="3" applyNumberFormat="1" applyFont="1" applyFill="1" applyBorder="1" applyAlignment="1">
      <alignment horizontal="center" vertical="top" wrapText="1"/>
    </xf>
    <xf numFmtId="41" fontId="15" fillId="3" borderId="3" xfId="3" applyNumberFormat="1" applyFont="1" applyFill="1" applyBorder="1" applyAlignment="1">
      <alignment vertical="top" wrapText="1"/>
    </xf>
    <xf numFmtId="41" fontId="24" fillId="3" borderId="3" xfId="3" applyNumberFormat="1" applyFont="1" applyFill="1" applyBorder="1" applyAlignment="1">
      <alignment horizontal="right" vertical="top" wrapText="1"/>
    </xf>
    <xf numFmtId="49" fontId="17" fillId="3" borderId="3" xfId="0" applyNumberFormat="1" applyFont="1" applyFill="1" applyBorder="1" applyAlignment="1">
      <alignment horizontal="center" vertical="center" wrapText="1"/>
    </xf>
    <xf numFmtId="41" fontId="15" fillId="3" borderId="3" xfId="0" applyNumberFormat="1" applyFont="1" applyFill="1" applyBorder="1" applyAlignment="1">
      <alignment vertical="top"/>
    </xf>
    <xf numFmtId="41" fontId="6" fillId="3" borderId="3" xfId="0" applyNumberFormat="1" applyFont="1" applyFill="1" applyBorder="1" applyAlignment="1">
      <alignment horizontal="left" vertical="center" wrapText="1"/>
    </xf>
    <xf numFmtId="41" fontId="17" fillId="3" borderId="3" xfId="1" applyNumberFormat="1" applyFont="1" applyFill="1" applyBorder="1" applyAlignment="1">
      <alignment horizontal="center" vertical="top" wrapText="1"/>
    </xf>
    <xf numFmtId="41" fontId="14" fillId="3" borderId="3" xfId="0" applyNumberFormat="1" applyFont="1" applyFill="1" applyBorder="1" applyAlignment="1">
      <alignment horizontal="right" vertical="center" wrapText="1"/>
    </xf>
    <xf numFmtId="43" fontId="14" fillId="3" borderId="3" xfId="13" applyFont="1" applyFill="1" applyBorder="1" applyAlignment="1">
      <alignment horizontal="center" vertical="top" wrapText="1"/>
    </xf>
    <xf numFmtId="41" fontId="10" fillId="3" borderId="3" xfId="0" applyNumberFormat="1" applyFont="1" applyFill="1" applyBorder="1"/>
    <xf numFmtId="41" fontId="22" fillId="3" borderId="3" xfId="0" applyNumberFormat="1" applyFont="1" applyFill="1" applyBorder="1"/>
    <xf numFmtId="43" fontId="10" fillId="3" borderId="3" xfId="13" applyFont="1" applyFill="1" applyBorder="1"/>
    <xf numFmtId="2" fontId="10" fillId="3" borderId="3" xfId="0" applyNumberFormat="1" applyFont="1" applyFill="1" applyBorder="1"/>
    <xf numFmtId="43" fontId="0" fillId="0" borderId="0" xfId="0" applyNumberFormat="1"/>
    <xf numFmtId="43" fontId="0" fillId="0" borderId="0" xfId="13" applyFont="1"/>
    <xf numFmtId="2" fontId="0" fillId="0" borderId="0" xfId="0" applyNumberFormat="1"/>
    <xf numFmtId="43" fontId="13" fillId="3" borderId="3" xfId="13" applyFont="1" applyFill="1" applyBorder="1" applyAlignment="1">
      <alignment vertical="center" wrapText="1"/>
    </xf>
    <xf numFmtId="2" fontId="9" fillId="3" borderId="3" xfId="0" applyNumberFormat="1" applyFont="1" applyFill="1" applyBorder="1"/>
    <xf numFmtId="43" fontId="7" fillId="3" borderId="3" xfId="13" applyNumberFormat="1" applyFont="1" applyFill="1" applyBorder="1"/>
    <xf numFmtId="41" fontId="15" fillId="3" borderId="9" xfId="0" applyNumberFormat="1" applyFont="1" applyFill="1" applyBorder="1" applyAlignment="1">
      <alignment horizontal="left" vertical="top" wrapText="1"/>
    </xf>
    <xf numFmtId="41" fontId="17" fillId="3" borderId="3" xfId="0" applyNumberFormat="1" applyFont="1" applyFill="1" applyBorder="1" applyAlignment="1">
      <alignment horizontal="center" vertical="center" wrapText="1"/>
    </xf>
    <xf numFmtId="41" fontId="5" fillId="3" borderId="3" xfId="3" applyNumberFormat="1" applyFont="1" applyFill="1" applyBorder="1" applyAlignment="1">
      <alignment horizontal="center" vertical="center" wrapText="1"/>
    </xf>
    <xf numFmtId="41" fontId="4" fillId="3" borderId="3" xfId="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top" wrapText="1"/>
    </xf>
    <xf numFmtId="41" fontId="14" fillId="3" borderId="3" xfId="2" applyNumberFormat="1" applyFont="1" applyFill="1" applyBorder="1" applyAlignment="1">
      <alignment horizontal="right" vertical="top"/>
    </xf>
    <xf numFmtId="2" fontId="7" fillId="3" borderId="3" xfId="0" applyNumberFormat="1" applyFont="1" applyFill="1" applyBorder="1"/>
    <xf numFmtId="43" fontId="13" fillId="3" borderId="3" xfId="13" applyFont="1" applyFill="1" applyBorder="1" applyAlignment="1">
      <alignment wrapText="1"/>
    </xf>
    <xf numFmtId="43" fontId="13" fillId="3" borderId="3" xfId="13" applyFont="1" applyFill="1" applyBorder="1" applyAlignment="1">
      <alignment vertical="center"/>
    </xf>
    <xf numFmtId="15" fontId="13" fillId="3" borderId="3" xfId="13" applyNumberFormat="1" applyFont="1" applyFill="1" applyBorder="1" applyAlignment="1">
      <alignment horizontal="center" vertical="center" wrapText="1"/>
    </xf>
    <xf numFmtId="0" fontId="28" fillId="0" borderId="0" xfId="0" applyFont="1"/>
    <xf numFmtId="0" fontId="7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41" fontId="4" fillId="3" borderId="3" xfId="1" applyNumberFormat="1" applyFont="1" applyFill="1" applyBorder="1" applyAlignment="1">
      <alignment horizontal="center" vertical="center"/>
    </xf>
    <xf numFmtId="41" fontId="4" fillId="3" borderId="3" xfId="1" applyNumberFormat="1" applyFont="1" applyFill="1" applyBorder="1" applyAlignment="1">
      <alignment horizontal="center" vertical="center" wrapText="1"/>
    </xf>
    <xf numFmtId="41" fontId="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/>
    <xf numFmtId="0" fontId="6" fillId="3" borderId="3" xfId="0" applyNumberFormat="1" applyFont="1" applyFill="1" applyBorder="1" applyAlignment="1">
      <alignment horizontal="left" vertical="top" wrapText="1"/>
    </xf>
    <xf numFmtId="41" fontId="15" fillId="3" borderId="3" xfId="0" applyNumberFormat="1" applyFont="1" applyFill="1" applyBorder="1" applyAlignment="1">
      <alignment horizontal="center" vertical="center" wrapText="1"/>
    </xf>
    <xf numFmtId="41" fontId="24" fillId="3" borderId="3" xfId="0" applyNumberFormat="1" applyFont="1" applyFill="1" applyBorder="1" applyAlignment="1">
      <alignment horizontal="right" vertical="center" wrapText="1"/>
    </xf>
    <xf numFmtId="43" fontId="24" fillId="3" borderId="3" xfId="13" applyFont="1" applyFill="1" applyBorder="1" applyAlignment="1">
      <alignment horizontal="center" vertical="top" wrapText="1"/>
    </xf>
    <xf numFmtId="0" fontId="0" fillId="0" borderId="0" xfId="0" applyFont="1"/>
    <xf numFmtId="0" fontId="29" fillId="0" borderId="0" xfId="0" applyFont="1"/>
    <xf numFmtId="41" fontId="6" fillId="6" borderId="3" xfId="0" applyNumberFormat="1" applyFont="1" applyFill="1" applyBorder="1" applyAlignment="1">
      <alignment horizontal="left" vertical="center" wrapText="1"/>
    </xf>
    <xf numFmtId="41" fontId="14" fillId="6" borderId="3" xfId="0" applyNumberFormat="1" applyFont="1" applyFill="1" applyBorder="1" applyAlignment="1">
      <alignment horizontal="center" vertical="top" wrapText="1"/>
    </xf>
    <xf numFmtId="41" fontId="14" fillId="6" borderId="3" xfId="0" applyNumberFormat="1" applyFont="1" applyFill="1" applyBorder="1" applyAlignment="1">
      <alignment horizontal="right" vertical="top" wrapText="1"/>
    </xf>
    <xf numFmtId="41" fontId="30" fillId="6" borderId="3" xfId="1" applyNumberFormat="1" applyFont="1" applyFill="1" applyBorder="1" applyAlignment="1">
      <alignment horizontal="center" vertical="top" wrapText="1"/>
    </xf>
    <xf numFmtId="41" fontId="6" fillId="6" borderId="3" xfId="0" applyNumberFormat="1" applyFont="1" applyFill="1" applyBorder="1" applyAlignment="1">
      <alignment horizontal="center" vertical="center" wrapText="1"/>
    </xf>
    <xf numFmtId="41" fontId="14" fillId="6" borderId="3" xfId="0" applyNumberFormat="1" applyFont="1" applyFill="1" applyBorder="1" applyAlignment="1">
      <alignment horizontal="right" vertical="center" wrapText="1"/>
    </xf>
    <xf numFmtId="43" fontId="14" fillId="6" borderId="3" xfId="13" applyFont="1" applyFill="1" applyBorder="1" applyAlignment="1">
      <alignment horizontal="center" vertical="top" wrapText="1"/>
    </xf>
    <xf numFmtId="43" fontId="14" fillId="6" borderId="3" xfId="13" applyFont="1" applyFill="1" applyBorder="1" applyAlignment="1">
      <alignment horizontal="right" vertical="top" wrapText="1"/>
    </xf>
    <xf numFmtId="41" fontId="4" fillId="6" borderId="3" xfId="0" applyNumberFormat="1" applyFont="1" applyFill="1" applyBorder="1" applyAlignment="1">
      <alignment horizontal="right" vertical="top" wrapText="1"/>
    </xf>
    <xf numFmtId="41" fontId="27" fillId="0" borderId="0" xfId="0" applyNumberFormat="1" applyFont="1"/>
    <xf numFmtId="0" fontId="31" fillId="0" borderId="0" xfId="0" applyFont="1" applyAlignment="1">
      <alignment horizontal="center" vertical="center" wrapText="1"/>
    </xf>
    <xf numFmtId="43" fontId="27" fillId="0" borderId="0" xfId="13" applyFont="1"/>
    <xf numFmtId="0" fontId="31" fillId="0" borderId="0" xfId="0" applyFont="1"/>
    <xf numFmtId="0" fontId="11" fillId="0" borderId="3" xfId="0" applyFont="1" applyBorder="1" applyAlignment="1">
      <alignment wrapText="1"/>
    </xf>
    <xf numFmtId="41" fontId="24" fillId="3" borderId="3" xfId="0" applyNumberFormat="1" applyFont="1" applyFill="1" applyBorder="1" applyAlignment="1">
      <alignment horizontal="left" vertical="center" wrapText="1"/>
    </xf>
    <xf numFmtId="188" fontId="14" fillId="3" borderId="3" xfId="13" applyNumberFormat="1" applyFont="1" applyFill="1" applyBorder="1" applyAlignment="1">
      <alignment horizontal="center" vertical="top" wrapText="1"/>
    </xf>
    <xf numFmtId="43" fontId="0" fillId="0" borderId="0" xfId="0" applyNumberFormat="1" applyFont="1"/>
    <xf numFmtId="41" fontId="5" fillId="3" borderId="3" xfId="3" applyNumberFormat="1" applyFont="1" applyFill="1" applyBorder="1" applyAlignment="1">
      <alignment horizontal="center" vertical="top" wrapText="1"/>
    </xf>
    <xf numFmtId="41" fontId="32" fillId="0" borderId="0" xfId="0" applyNumberFormat="1" applyFont="1"/>
    <xf numFmtId="41" fontId="11" fillId="0" borderId="0" xfId="0" applyNumberFormat="1" applyFont="1"/>
    <xf numFmtId="41" fontId="34" fillId="7" borderId="3" xfId="0" applyNumberFormat="1" applyFont="1" applyFill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left" vertical="top" wrapText="1"/>
    </xf>
    <xf numFmtId="41" fontId="10" fillId="0" borderId="3" xfId="13" applyNumberFormat="1" applyFont="1" applyBorder="1" applyAlignment="1">
      <alignment vertical="top"/>
    </xf>
    <xf numFmtId="41" fontId="10" fillId="0" borderId="3" xfId="13" applyNumberFormat="1" applyFont="1" applyBorder="1" applyAlignment="1">
      <alignment horizontal="right" vertical="top"/>
    </xf>
    <xf numFmtId="41" fontId="10" fillId="0" borderId="3" xfId="0" applyNumberFormat="1" applyFont="1" applyBorder="1" applyAlignment="1">
      <alignment horizontal="right" vertical="top"/>
    </xf>
    <xf numFmtId="41" fontId="11" fillId="0" borderId="3" xfId="0" applyNumberFormat="1" applyFont="1" applyBorder="1" applyAlignment="1">
      <alignment horizontal="left" vertical="top" wrapText="1"/>
    </xf>
    <xf numFmtId="41" fontId="11" fillId="0" borderId="3" xfId="13" applyNumberFormat="1" applyFont="1" applyBorder="1" applyAlignment="1">
      <alignment vertical="top"/>
    </xf>
    <xf numFmtId="41" fontId="10" fillId="0" borderId="6" xfId="0" applyNumberFormat="1" applyFont="1" applyBorder="1" applyAlignment="1">
      <alignment horizontal="center" vertical="top"/>
    </xf>
    <xf numFmtId="41" fontId="32" fillId="0" borderId="0" xfId="0" applyNumberFormat="1" applyFont="1" applyAlignment="1">
      <alignment wrapText="1"/>
    </xf>
    <xf numFmtId="41" fontId="10" fillId="8" borderId="3" xfId="13" applyNumberFormat="1" applyFont="1" applyFill="1" applyBorder="1" applyAlignment="1">
      <alignment vertical="top"/>
    </xf>
    <xf numFmtId="41" fontId="11" fillId="8" borderId="3" xfId="0" applyNumberFormat="1" applyFont="1" applyFill="1" applyBorder="1" applyAlignment="1">
      <alignment vertical="top"/>
    </xf>
    <xf numFmtId="41" fontId="0" fillId="0" borderId="0" xfId="0" applyNumberFormat="1"/>
    <xf numFmtId="41" fontId="13" fillId="0" borderId="3" xfId="0" applyNumberFormat="1" applyFont="1" applyBorder="1" applyAlignment="1">
      <alignment horizontal="left" vertical="top" wrapText="1"/>
    </xf>
    <xf numFmtId="41" fontId="9" fillId="0" borderId="3" xfId="13" applyNumberFormat="1" applyFont="1" applyBorder="1" applyAlignment="1">
      <alignment horizontal="right" vertical="top"/>
    </xf>
    <xf numFmtId="41" fontId="13" fillId="0" borderId="3" xfId="13" applyNumberFormat="1" applyFont="1" applyBorder="1" applyAlignment="1">
      <alignment horizontal="center" vertical="center" wrapText="1"/>
    </xf>
    <xf numFmtId="43" fontId="10" fillId="0" borderId="3" xfId="13" applyFont="1" applyBorder="1" applyAlignment="1">
      <alignment horizontal="right" vertical="top"/>
    </xf>
    <xf numFmtId="41" fontId="10" fillId="8" borderId="3" xfId="13" applyNumberFormat="1" applyFont="1" applyFill="1" applyBorder="1" applyAlignment="1">
      <alignment horizontal="right" vertical="top"/>
    </xf>
    <xf numFmtId="43" fontId="10" fillId="8" borderId="3" xfId="13" applyFont="1" applyFill="1" applyBorder="1" applyAlignment="1">
      <alignment vertical="top"/>
    </xf>
    <xf numFmtId="0" fontId="11" fillId="0" borderId="9" xfId="0" applyFont="1" applyBorder="1" applyAlignment="1">
      <alignment vertical="center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14" fillId="3" borderId="3" xfId="0" applyNumberFormat="1" applyFont="1" applyFill="1" applyBorder="1" applyAlignment="1">
      <alignment horizontal="center" vertical="center" wrapText="1"/>
    </xf>
    <xf numFmtId="41" fontId="6" fillId="3" borderId="3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0" fillId="0" borderId="3" xfId="0" applyBorder="1"/>
    <xf numFmtId="43" fontId="0" fillId="0" borderId="3" xfId="0" applyNumberFormat="1" applyBorder="1"/>
    <xf numFmtId="0" fontId="13" fillId="0" borderId="3" xfId="0" applyFont="1" applyBorder="1"/>
    <xf numFmtId="43" fontId="13" fillId="0" borderId="3" xfId="0" applyNumberFormat="1" applyFont="1" applyBorder="1"/>
    <xf numFmtId="0" fontId="22" fillId="0" borderId="3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9" xfId="0" applyFont="1" applyBorder="1" applyAlignment="1">
      <alignment vertic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43" fontId="36" fillId="0" borderId="0" xfId="13" applyFont="1"/>
    <xf numFmtId="41" fontId="13" fillId="0" borderId="3" xfId="13" applyNumberFormat="1" applyFont="1" applyBorder="1" applyAlignment="1">
      <alignment horizontal="center" vertical="center"/>
    </xf>
    <xf numFmtId="0" fontId="5" fillId="0" borderId="0" xfId="0" applyFont="1" applyFill="1"/>
    <xf numFmtId="0" fontId="1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1" fontId="14" fillId="2" borderId="3" xfId="13" applyNumberFormat="1" applyFont="1" applyFill="1" applyBorder="1"/>
    <xf numFmtId="0" fontId="14" fillId="2" borderId="3" xfId="0" applyFont="1" applyFill="1" applyBorder="1"/>
    <xf numFmtId="41" fontId="14" fillId="9" borderId="9" xfId="0" applyNumberFormat="1" applyFont="1" applyFill="1" applyBorder="1" applyAlignment="1" applyProtection="1">
      <alignment horizontal="center" vertical="top"/>
      <protection locked="0"/>
    </xf>
    <xf numFmtId="0" fontId="14" fillId="9" borderId="9" xfId="0" applyFont="1" applyFill="1" applyBorder="1" applyAlignment="1" applyProtection="1">
      <alignment horizontal="center" vertical="top"/>
      <protection locked="0"/>
    </xf>
    <xf numFmtId="41" fontId="14" fillId="10" borderId="9" xfId="13" applyNumberFormat="1" applyFont="1" applyFill="1" applyBorder="1" applyAlignment="1">
      <alignment horizontal="right" vertical="top"/>
    </xf>
    <xf numFmtId="0" fontId="14" fillId="10" borderId="9" xfId="0" applyFont="1" applyFill="1" applyBorder="1" applyAlignment="1">
      <alignment vertical="top"/>
    </xf>
    <xf numFmtId="41" fontId="5" fillId="0" borderId="0" xfId="0" applyNumberFormat="1" applyFont="1" applyFill="1"/>
    <xf numFmtId="0" fontId="24" fillId="4" borderId="1" xfId="0" applyFont="1" applyFill="1" applyBorder="1"/>
    <xf numFmtId="41" fontId="14" fillId="4" borderId="3" xfId="0" applyNumberFormat="1" applyFont="1" applyFill="1" applyBorder="1" applyAlignment="1">
      <alignment horizontal="right" vertical="top"/>
    </xf>
    <xf numFmtId="41" fontId="14" fillId="4" borderId="2" xfId="0" applyNumberFormat="1" applyFont="1" applyFill="1" applyBorder="1" applyAlignment="1">
      <alignment horizontal="right" vertical="top"/>
    </xf>
    <xf numFmtId="0" fontId="14" fillId="4" borderId="2" xfId="0" applyFont="1" applyFill="1" applyBorder="1" applyAlignment="1">
      <alignment vertical="top"/>
    </xf>
    <xf numFmtId="0" fontId="24" fillId="0" borderId="1" xfId="0" applyFont="1" applyFill="1" applyBorder="1"/>
    <xf numFmtId="0" fontId="24" fillId="0" borderId="11" xfId="0" applyFont="1" applyFill="1" applyBorder="1"/>
    <xf numFmtId="0" fontId="24" fillId="0" borderId="2" xfId="0" applyFont="1" applyFill="1" applyBorder="1" applyAlignment="1">
      <alignment horizontal="left" vertical="top" wrapText="1"/>
    </xf>
    <xf numFmtId="41" fontId="24" fillId="0" borderId="3" xfId="13" applyNumberFormat="1" applyFont="1" applyFill="1" applyBorder="1" applyAlignment="1">
      <alignment horizontal="center" vertical="top"/>
    </xf>
    <xf numFmtId="0" fontId="24" fillId="0" borderId="6" xfId="0" applyFont="1" applyFill="1" applyBorder="1"/>
    <xf numFmtId="0" fontId="24" fillId="0" borderId="0" xfId="0" applyFont="1" applyFill="1" applyBorder="1"/>
    <xf numFmtId="0" fontId="24" fillId="0" borderId="13" xfId="0" applyFont="1" applyFill="1" applyBorder="1" applyAlignment="1">
      <alignment horizontal="left" vertical="top" wrapText="1"/>
    </xf>
    <xf numFmtId="0" fontId="24" fillId="0" borderId="6" xfId="0" applyFont="1" applyFill="1" applyBorder="1" applyAlignment="1"/>
    <xf numFmtId="0" fontId="24" fillId="0" borderId="0" xfId="0" applyFont="1" applyFill="1" applyBorder="1" applyAlignment="1"/>
    <xf numFmtId="0" fontId="5" fillId="0" borderId="0" xfId="0" applyFont="1" applyFill="1" applyAlignment="1"/>
    <xf numFmtId="0" fontId="24" fillId="0" borderId="1" xfId="0" applyFont="1" applyFill="1" applyBorder="1" applyAlignment="1"/>
    <xf numFmtId="0" fontId="24" fillId="0" borderId="11" xfId="0" applyFont="1" applyFill="1" applyBorder="1" applyAlignment="1"/>
    <xf numFmtId="0" fontId="24" fillId="0" borderId="2" xfId="0" applyFont="1" applyFill="1" applyBorder="1" applyAlignment="1">
      <alignment vertical="top"/>
    </xf>
    <xf numFmtId="41" fontId="24" fillId="0" borderId="3" xfId="0" applyNumberFormat="1" applyFont="1" applyFill="1" applyBorder="1" applyAlignment="1">
      <alignment vertical="top"/>
    </xf>
    <xf numFmtId="0" fontId="24" fillId="0" borderId="13" xfId="0" applyFont="1" applyFill="1" applyBorder="1" applyAlignment="1">
      <alignment vertical="top"/>
    </xf>
    <xf numFmtId="41" fontId="1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41" fontId="24" fillId="0" borderId="3" xfId="13" applyNumberFormat="1" applyFont="1" applyFill="1" applyBorder="1" applyAlignment="1">
      <alignment horizontal="right" vertical="top"/>
    </xf>
    <xf numFmtId="0" fontId="25" fillId="0" borderId="8" xfId="0" applyFont="1" applyFill="1" applyBorder="1"/>
    <xf numFmtId="0" fontId="25" fillId="0" borderId="14" xfId="0" applyFont="1" applyFill="1" applyBorder="1"/>
    <xf numFmtId="41" fontId="25" fillId="0" borderId="3" xfId="0" applyNumberFormat="1" applyFont="1" applyFill="1" applyBorder="1" applyAlignment="1">
      <alignment vertical="top"/>
    </xf>
    <xf numFmtId="41" fontId="14" fillId="10" borderId="3" xfId="13" applyNumberFormat="1" applyFont="1" applyFill="1" applyBorder="1" applyAlignment="1">
      <alignment horizontal="right" vertical="top"/>
    </xf>
    <xf numFmtId="0" fontId="14" fillId="4" borderId="8" xfId="0" applyFont="1" applyFill="1" applyBorder="1"/>
    <xf numFmtId="41" fontId="14" fillId="4" borderId="9" xfId="0" applyNumberFormat="1" applyFont="1" applyFill="1" applyBorder="1" applyAlignment="1">
      <alignment horizontal="right" vertical="top"/>
    </xf>
    <xf numFmtId="0" fontId="24" fillId="0" borderId="8" xfId="0" applyFont="1" applyFill="1" applyBorder="1"/>
    <xf numFmtId="0" fontId="24" fillId="0" borderId="14" xfId="0" applyFont="1" applyFill="1" applyBorder="1"/>
    <xf numFmtId="0" fontId="24" fillId="0" borderId="8" xfId="0" applyFont="1" applyFill="1" applyBorder="1" applyAlignment="1"/>
    <xf numFmtId="0" fontId="24" fillId="0" borderId="14" xfId="0" applyFont="1" applyFill="1" applyBorder="1" applyAlignment="1"/>
    <xf numFmtId="41" fontId="24" fillId="0" borderId="3" xfId="0" applyNumberFormat="1" applyFont="1" applyFill="1" applyBorder="1" applyAlignment="1">
      <alignment horizontal="right" vertical="top"/>
    </xf>
    <xf numFmtId="0" fontId="14" fillId="4" borderId="1" xfId="0" applyFont="1" applyFill="1" applyBorder="1"/>
    <xf numFmtId="0" fontId="24" fillId="0" borderId="12" xfId="0" applyFont="1" applyFill="1" applyBorder="1"/>
    <xf numFmtId="0" fontId="24" fillId="0" borderId="10" xfId="0" applyFont="1" applyFill="1" applyBorder="1"/>
    <xf numFmtId="41" fontId="14" fillId="10" borderId="3" xfId="0" applyNumberFormat="1" applyFont="1" applyFill="1" applyBorder="1" applyAlignment="1">
      <alignment vertical="top" wrapText="1"/>
    </xf>
    <xf numFmtId="41" fontId="14" fillId="2" borderId="3" xfId="0" applyNumberFormat="1" applyFont="1" applyFill="1" applyBorder="1" applyAlignment="1">
      <alignment vertical="top"/>
    </xf>
    <xf numFmtId="41" fontId="14" fillId="10" borderId="3" xfId="13" applyNumberFormat="1" applyFont="1" applyFill="1" applyBorder="1" applyAlignment="1">
      <alignment horizontal="left" vertical="top"/>
    </xf>
    <xf numFmtId="41" fontId="14" fillId="4" borderId="3" xfId="0" applyNumberFormat="1" applyFont="1" applyFill="1" applyBorder="1" applyAlignment="1">
      <alignment horizontal="left" vertical="top"/>
    </xf>
    <xf numFmtId="41" fontId="24" fillId="0" borderId="2" xfId="0" applyNumberFormat="1" applyFont="1" applyBorder="1" applyAlignment="1">
      <alignment horizontal="right" vertical="top"/>
    </xf>
    <xf numFmtId="0" fontId="24" fillId="0" borderId="1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41" fontId="24" fillId="0" borderId="3" xfId="0" applyNumberFormat="1" applyFont="1" applyBorder="1" applyAlignment="1">
      <alignment horizontal="right" vertical="top"/>
    </xf>
    <xf numFmtId="0" fontId="24" fillId="0" borderId="15" xfId="0" applyFont="1" applyBorder="1" applyAlignment="1">
      <alignment horizontal="left" vertical="top" wrapText="1"/>
    </xf>
    <xf numFmtId="41" fontId="24" fillId="0" borderId="2" xfId="13" applyNumberFormat="1" applyFont="1" applyBorder="1" applyAlignment="1">
      <alignment horizontal="right" vertical="top"/>
    </xf>
    <xf numFmtId="0" fontId="24" fillId="0" borderId="12" xfId="0" applyFont="1" applyFill="1" applyBorder="1" applyAlignment="1"/>
    <xf numFmtId="0" fontId="24" fillId="0" borderId="10" xfId="0" applyFont="1" applyFill="1" applyBorder="1" applyAlignment="1"/>
    <xf numFmtId="0" fontId="24" fillId="0" borderId="4" xfId="0" applyFont="1" applyBorder="1" applyAlignment="1">
      <alignment horizontal="left" vertical="top" wrapText="1"/>
    </xf>
    <xf numFmtId="0" fontId="24" fillId="4" borderId="8" xfId="0" applyFont="1" applyFill="1" applyBorder="1"/>
    <xf numFmtId="0" fontId="37" fillId="0" borderId="0" xfId="0" applyFont="1" applyFill="1" applyAlignment="1"/>
    <xf numFmtId="0" fontId="15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43" fontId="11" fillId="0" borderId="3" xfId="13" applyFont="1" applyBorder="1" applyAlignment="1">
      <alignment vertical="top"/>
    </xf>
    <xf numFmtId="43" fontId="25" fillId="0" borderId="0" xfId="0" applyNumberFormat="1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41" fontId="26" fillId="3" borderId="3" xfId="0" applyNumberFormat="1" applyFont="1" applyFill="1" applyBorder="1" applyAlignment="1">
      <alignment horizontal="center" vertical="center" wrapText="1"/>
    </xf>
    <xf numFmtId="43" fontId="11" fillId="0" borderId="3" xfId="13" applyFont="1" applyBorder="1" applyAlignment="1">
      <alignment horizontal="right" vertical="top"/>
    </xf>
    <xf numFmtId="43" fontId="7" fillId="3" borderId="3" xfId="13" applyFont="1" applyFill="1" applyBorder="1" applyAlignment="1">
      <alignment horizontal="center" vertical="center" wrapText="1"/>
    </xf>
    <xf numFmtId="41" fontId="11" fillId="0" borderId="3" xfId="13" applyNumberFormat="1" applyFont="1" applyBorder="1" applyAlignment="1">
      <alignment horizontal="center" vertical="top" wrapText="1"/>
    </xf>
    <xf numFmtId="0" fontId="20" fillId="3" borderId="1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top" wrapText="1"/>
    </xf>
    <xf numFmtId="0" fontId="24" fillId="0" borderId="15" xfId="0" applyFont="1" applyFill="1" applyBorder="1" applyAlignment="1">
      <alignment horizontal="left" vertical="top" wrapText="1"/>
    </xf>
    <xf numFmtId="43" fontId="24" fillId="0" borderId="3" xfId="13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center" vertical="center" wrapText="1"/>
    </xf>
    <xf numFmtId="41" fontId="24" fillId="3" borderId="3" xfId="13" applyNumberFormat="1" applyFont="1" applyFill="1" applyBorder="1" applyAlignment="1">
      <alignment horizontal="center" vertical="top"/>
    </xf>
    <xf numFmtId="41" fontId="24" fillId="3" borderId="3" xfId="0" applyNumberFormat="1" applyFont="1" applyFill="1" applyBorder="1" applyAlignment="1">
      <alignment vertical="top"/>
    </xf>
    <xf numFmtId="41" fontId="25" fillId="3" borderId="3" xfId="0" applyNumberFormat="1" applyFont="1" applyFill="1" applyBorder="1" applyAlignment="1">
      <alignment vertical="top"/>
    </xf>
    <xf numFmtId="41" fontId="24" fillId="3" borderId="2" xfId="0" applyNumberFormat="1" applyFont="1" applyFill="1" applyBorder="1" applyAlignment="1">
      <alignment horizontal="right" vertical="top"/>
    </xf>
    <xf numFmtId="41" fontId="5" fillId="3" borderId="0" xfId="0" applyNumberFormat="1" applyFont="1" applyFill="1"/>
    <xf numFmtId="0" fontId="25" fillId="0" borderId="14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41" fontId="5" fillId="3" borderId="3" xfId="1" applyNumberFormat="1" applyFont="1" applyFill="1" applyBorder="1" applyAlignment="1">
      <alignment horizontal="center" vertical="top" wrapText="1"/>
    </xf>
    <xf numFmtId="43" fontId="14" fillId="4" borderId="9" xfId="13" applyFont="1" applyFill="1" applyBorder="1" applyAlignment="1">
      <alignment horizontal="right" vertical="top"/>
    </xf>
    <xf numFmtId="43" fontId="14" fillId="10" borderId="3" xfId="13" applyFont="1" applyFill="1" applyBorder="1" applyAlignment="1">
      <alignment horizontal="right" vertical="top"/>
    </xf>
    <xf numFmtId="0" fontId="24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43" fontId="14" fillId="2" borderId="3" xfId="13" applyFont="1" applyFill="1" applyBorder="1"/>
    <xf numFmtId="43" fontId="25" fillId="0" borderId="3" xfId="13" applyFont="1" applyFill="1" applyBorder="1" applyAlignment="1">
      <alignment vertical="top"/>
    </xf>
    <xf numFmtId="43" fontId="24" fillId="0" borderId="3" xfId="13" applyFont="1" applyFill="1" applyBorder="1" applyAlignment="1">
      <alignment vertical="top"/>
    </xf>
    <xf numFmtId="41" fontId="24" fillId="0" borderId="4" xfId="0" applyNumberFormat="1" applyFont="1" applyFill="1" applyBorder="1" applyAlignment="1">
      <alignment horizontal="right" vertical="top"/>
    </xf>
    <xf numFmtId="41" fontId="24" fillId="3" borderId="4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left" vertical="top" wrapText="1"/>
    </xf>
    <xf numFmtId="43" fontId="24" fillId="0" borderId="3" xfId="13" applyFont="1" applyBorder="1" applyAlignment="1">
      <alignment horizontal="right" vertical="top"/>
    </xf>
    <xf numFmtId="43" fontId="14" fillId="4" borderId="3" xfId="13" applyFont="1" applyFill="1" applyBorder="1" applyAlignment="1">
      <alignment horizontal="right" vertical="top"/>
    </xf>
    <xf numFmtId="43" fontId="24" fillId="0" borderId="4" xfId="13" applyFont="1" applyFill="1" applyBorder="1" applyAlignment="1">
      <alignment horizontal="right" vertical="top"/>
    </xf>
    <xf numFmtId="43" fontId="14" fillId="9" borderId="3" xfId="13" applyFont="1" applyFill="1" applyBorder="1"/>
    <xf numFmtId="43" fontId="24" fillId="0" borderId="3" xfId="0" applyNumberFormat="1" applyFont="1" applyFill="1" applyBorder="1" applyAlignment="1">
      <alignment horizontal="right" vertical="top"/>
    </xf>
    <xf numFmtId="41" fontId="24" fillId="10" borderId="2" xfId="0" applyNumberFormat="1" applyFont="1" applyFill="1" applyBorder="1" applyAlignment="1">
      <alignment horizontal="right" vertical="top"/>
    </xf>
    <xf numFmtId="41" fontId="24" fillId="4" borderId="2" xfId="0" applyNumberFormat="1" applyFont="1" applyFill="1" applyBorder="1" applyAlignment="1">
      <alignment horizontal="right" vertical="top"/>
    </xf>
    <xf numFmtId="41" fontId="14" fillId="9" borderId="3" xfId="13" applyNumberFormat="1" applyFont="1" applyFill="1" applyBorder="1" applyAlignment="1">
      <alignment vertical="top"/>
    </xf>
    <xf numFmtId="0" fontId="24" fillId="0" borderId="2" xfId="0" applyFont="1" applyBorder="1" applyAlignment="1">
      <alignment horizontal="left" vertical="top" wrapText="1"/>
    </xf>
    <xf numFmtId="41" fontId="15" fillId="0" borderId="3" xfId="13" applyNumberFormat="1" applyFont="1" applyFill="1" applyBorder="1" applyAlignment="1">
      <alignment horizontal="center" vertical="top"/>
    </xf>
    <xf numFmtId="41" fontId="5" fillId="0" borderId="3" xfId="13" applyNumberFormat="1" applyFont="1" applyFill="1" applyBorder="1" applyAlignment="1">
      <alignment horizontal="center" vertical="top" wrapText="1"/>
    </xf>
    <xf numFmtId="41" fontId="5" fillId="0" borderId="3" xfId="13" applyNumberFormat="1" applyFont="1" applyFill="1" applyBorder="1" applyAlignment="1">
      <alignment horizontal="right" vertical="top"/>
    </xf>
    <xf numFmtId="0" fontId="24" fillId="0" borderId="15" xfId="0" applyFont="1" applyFill="1" applyBorder="1" applyAlignment="1">
      <alignment horizontal="left" vertical="top"/>
    </xf>
    <xf numFmtId="0" fontId="24" fillId="0" borderId="15" xfId="0" applyFont="1" applyFill="1" applyBorder="1" applyAlignment="1">
      <alignment horizontal="left" vertical="top" wrapText="1"/>
    </xf>
    <xf numFmtId="41" fontId="17" fillId="0" borderId="3" xfId="0" applyNumberFormat="1" applyFont="1" applyFill="1" applyBorder="1" applyAlignment="1">
      <alignment horizontal="center" vertical="center"/>
    </xf>
    <xf numFmtId="41" fontId="24" fillId="11" borderId="9" xfId="0" applyNumberFormat="1" applyFont="1" applyFill="1" applyBorder="1" applyAlignment="1">
      <alignment horizontal="right" vertical="top"/>
    </xf>
    <xf numFmtId="0" fontId="24" fillId="11" borderId="9" xfId="0" applyFont="1" applyFill="1" applyBorder="1" applyAlignment="1">
      <alignment vertical="top" wrapText="1"/>
    </xf>
    <xf numFmtId="0" fontId="24" fillId="11" borderId="1" xfId="0" applyFont="1" applyFill="1" applyBorder="1"/>
    <xf numFmtId="0" fontId="24" fillId="11" borderId="11" xfId="0" applyFont="1" applyFill="1" applyBorder="1"/>
    <xf numFmtId="0" fontId="5" fillId="11" borderId="0" xfId="0" applyFont="1" applyFill="1"/>
    <xf numFmtId="0" fontId="14" fillId="11" borderId="1" xfId="0" applyFont="1" applyFill="1" applyBorder="1"/>
    <xf numFmtId="0" fontId="14" fillId="11" borderId="11" xfId="0" applyFont="1" applyFill="1" applyBorder="1"/>
    <xf numFmtId="41" fontId="14" fillId="11" borderId="3" xfId="0" applyNumberFormat="1" applyFont="1" applyFill="1" applyBorder="1" applyAlignment="1">
      <alignment horizontal="right" vertical="top"/>
    </xf>
    <xf numFmtId="41" fontId="4" fillId="11" borderId="3" xfId="0" applyNumberFormat="1" applyFont="1" applyFill="1" applyBorder="1" applyAlignment="1">
      <alignment horizontal="right" vertical="top"/>
    </xf>
    <xf numFmtId="0" fontId="6" fillId="11" borderId="3" xfId="0" applyFont="1" applyFill="1" applyBorder="1" applyAlignment="1">
      <alignment horizontal="center" vertical="center" wrapText="1"/>
    </xf>
    <xf numFmtId="0" fontId="4" fillId="11" borderId="0" xfId="0" applyFont="1" applyFill="1"/>
    <xf numFmtId="0" fontId="24" fillId="11" borderId="8" xfId="0" applyFont="1" applyFill="1" applyBorder="1"/>
    <xf numFmtId="0" fontId="24" fillId="11" borderId="14" xfId="0" applyFont="1" applyFill="1" applyBorder="1"/>
    <xf numFmtId="41" fontId="24" fillId="11" borderId="3" xfId="0" applyNumberFormat="1" applyFont="1" applyFill="1" applyBorder="1" applyAlignment="1">
      <alignment vertical="top"/>
    </xf>
    <xf numFmtId="0" fontId="15" fillId="11" borderId="3" xfId="0" applyFont="1" applyFill="1" applyBorder="1" applyAlignment="1">
      <alignment horizontal="center" vertical="center" wrapText="1"/>
    </xf>
    <xf numFmtId="0" fontId="25" fillId="11" borderId="8" xfId="0" applyFont="1" applyFill="1" applyBorder="1"/>
    <xf numFmtId="0" fontId="25" fillId="11" borderId="14" xfId="0" applyFont="1" applyFill="1" applyBorder="1"/>
    <xf numFmtId="0" fontId="25" fillId="11" borderId="14" xfId="0" applyFont="1" applyFill="1" applyBorder="1" applyAlignment="1">
      <alignment horizontal="left" vertical="top" wrapText="1"/>
    </xf>
    <xf numFmtId="0" fontId="33" fillId="11" borderId="15" xfId="0" applyFont="1" applyFill="1" applyBorder="1" applyAlignment="1">
      <alignment horizontal="left" vertical="top" wrapText="1"/>
    </xf>
    <xf numFmtId="41" fontId="33" fillId="11" borderId="3" xfId="0" applyNumberFormat="1" applyFont="1" applyFill="1" applyBorder="1" applyAlignment="1">
      <alignment vertical="top"/>
    </xf>
    <xf numFmtId="43" fontId="33" fillId="11" borderId="3" xfId="13" applyFont="1" applyFill="1" applyBorder="1" applyAlignment="1">
      <alignment vertical="top"/>
    </xf>
    <xf numFmtId="41" fontId="24" fillId="11" borderId="3" xfId="0" applyNumberFormat="1" applyFont="1" applyFill="1" applyBorder="1" applyAlignment="1">
      <alignment horizontal="right" vertical="top"/>
    </xf>
    <xf numFmtId="43" fontId="24" fillId="11" borderId="3" xfId="13" applyFont="1" applyFill="1" applyBorder="1" applyAlignment="1">
      <alignment horizontal="right" vertical="top"/>
    </xf>
    <xf numFmtId="41" fontId="24" fillId="11" borderId="4" xfId="0" applyNumberFormat="1" applyFont="1" applyFill="1" applyBorder="1" applyAlignment="1">
      <alignment horizontal="right" vertical="top"/>
    </xf>
    <xf numFmtId="0" fontId="15" fillId="11" borderId="9" xfId="0" applyFont="1" applyFill="1" applyBorder="1" applyAlignment="1">
      <alignment horizontal="center" vertical="center" wrapText="1"/>
    </xf>
    <xf numFmtId="41" fontId="24" fillId="11" borderId="5" xfId="0" applyNumberFormat="1" applyFont="1" applyFill="1" applyBorder="1" applyAlignment="1">
      <alignment vertical="top"/>
    </xf>
    <xf numFmtId="43" fontId="24" fillId="11" borderId="5" xfId="13" applyFont="1" applyFill="1" applyBorder="1" applyAlignment="1">
      <alignment vertical="top"/>
    </xf>
    <xf numFmtId="0" fontId="15" fillId="11" borderId="5" xfId="0" applyFont="1" applyFill="1" applyBorder="1" applyAlignment="1">
      <alignment horizontal="center" vertical="center" wrapText="1"/>
    </xf>
    <xf numFmtId="41" fontId="24" fillId="11" borderId="2" xfId="0" applyNumberFormat="1" applyFont="1" applyFill="1" applyBorder="1" applyAlignment="1">
      <alignment horizontal="right" vertical="top"/>
    </xf>
    <xf numFmtId="0" fontId="5" fillId="11" borderId="0" xfId="0" applyFont="1" applyFill="1" applyAlignment="1"/>
    <xf numFmtId="0" fontId="24" fillId="11" borderId="8" xfId="0" applyFont="1" applyFill="1" applyBorder="1" applyAlignment="1"/>
    <xf numFmtId="0" fontId="24" fillId="11" borderId="14" xfId="0" applyFont="1" applyFill="1" applyBorder="1" applyAlignment="1"/>
    <xf numFmtId="41" fontId="14" fillId="11" borderId="3" xfId="0" applyNumberFormat="1" applyFont="1" applyFill="1" applyBorder="1" applyAlignment="1">
      <alignment vertical="top"/>
    </xf>
    <xf numFmtId="41" fontId="24" fillId="0" borderId="9" xfId="0" applyNumberFormat="1" applyFont="1" applyFill="1" applyBorder="1" applyAlignment="1">
      <alignment vertical="top"/>
    </xf>
    <xf numFmtId="41" fontId="24" fillId="3" borderId="9" xfId="0" applyNumberFormat="1" applyFont="1" applyFill="1" applyBorder="1" applyAlignment="1">
      <alignment vertical="top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1" fontId="24" fillId="11" borderId="5" xfId="0" applyNumberFormat="1" applyFont="1" applyFill="1" applyBorder="1" applyAlignment="1">
      <alignment horizontal="right" vertical="top"/>
    </xf>
    <xf numFmtId="0" fontId="24" fillId="11" borderId="11" xfId="0" applyFont="1" applyFill="1" applyBorder="1" applyAlignment="1">
      <alignment vertical="top"/>
    </xf>
    <xf numFmtId="0" fontId="24" fillId="11" borderId="2" xfId="0" applyFont="1" applyFill="1" applyBorder="1" applyAlignment="1">
      <alignment vertical="top"/>
    </xf>
    <xf numFmtId="43" fontId="14" fillId="4" borderId="2" xfId="13" applyFont="1" applyFill="1" applyBorder="1" applyAlignment="1">
      <alignment horizontal="right" vertical="top"/>
    </xf>
    <xf numFmtId="0" fontId="15" fillId="11" borderId="3" xfId="0" applyFont="1" applyFill="1" applyBorder="1" applyAlignment="1">
      <alignment horizontal="center" vertical="center"/>
    </xf>
    <xf numFmtId="0" fontId="24" fillId="11" borderId="12" xfId="0" applyFont="1" applyFill="1" applyBorder="1"/>
    <xf numFmtId="0" fontId="24" fillId="11" borderId="10" xfId="0" applyFont="1" applyFill="1" applyBorder="1"/>
    <xf numFmtId="0" fontId="24" fillId="11" borderId="4" xfId="0" applyFont="1" applyFill="1" applyBorder="1" applyAlignment="1">
      <alignment horizontal="left" vertical="top" wrapText="1"/>
    </xf>
    <xf numFmtId="41" fontId="24" fillId="11" borderId="2" xfId="13" applyNumberFormat="1" applyFont="1" applyFill="1" applyBorder="1" applyAlignment="1">
      <alignment vertical="top"/>
    </xf>
    <xf numFmtId="41" fontId="24" fillId="11" borderId="9" xfId="13" applyNumberFormat="1" applyFont="1" applyFill="1" applyBorder="1" applyAlignment="1">
      <alignment vertical="top"/>
    </xf>
    <xf numFmtId="41" fontId="24" fillId="11" borderId="3" xfId="13" applyNumberFormat="1" applyFont="1" applyFill="1" applyBorder="1" applyAlignment="1">
      <alignment vertical="top"/>
    </xf>
    <xf numFmtId="41" fontId="5" fillId="11" borderId="3" xfId="13" applyNumberFormat="1" applyFont="1" applyFill="1" applyBorder="1" applyAlignment="1">
      <alignment horizontal="center" vertical="top" wrapText="1"/>
    </xf>
    <xf numFmtId="0" fontId="24" fillId="11" borderId="15" xfId="0" applyFont="1" applyFill="1" applyBorder="1" applyAlignment="1">
      <alignment horizontal="left" vertical="top" wrapText="1"/>
    </xf>
    <xf numFmtId="43" fontId="24" fillId="11" borderId="2" xfId="13" applyFont="1" applyFill="1" applyBorder="1" applyAlignment="1">
      <alignment horizontal="right" vertical="top"/>
    </xf>
    <xf numFmtId="43" fontId="24" fillId="11" borderId="9" xfId="13" applyFont="1" applyFill="1" applyBorder="1" applyAlignment="1">
      <alignment horizontal="right" vertical="top"/>
    </xf>
    <xf numFmtId="41" fontId="24" fillId="11" borderId="3" xfId="13" applyNumberFormat="1" applyFont="1" applyFill="1" applyBorder="1" applyAlignment="1">
      <alignment horizontal="right" vertical="top"/>
    </xf>
    <xf numFmtId="41" fontId="24" fillId="11" borderId="2" xfId="13" applyNumberFormat="1" applyFont="1" applyFill="1" applyBorder="1" applyAlignment="1">
      <alignment horizontal="right" vertical="top"/>
    </xf>
    <xf numFmtId="0" fontId="24" fillId="3" borderId="8" xfId="0" applyFont="1" applyFill="1" applyBorder="1"/>
    <xf numFmtId="0" fontId="24" fillId="3" borderId="14" xfId="0" applyFont="1" applyFill="1" applyBorder="1"/>
    <xf numFmtId="0" fontId="24" fillId="3" borderId="15" xfId="0" applyFont="1" applyFill="1" applyBorder="1" applyAlignment="1">
      <alignment horizontal="left" vertical="top" wrapText="1"/>
    </xf>
    <xf numFmtId="41" fontId="24" fillId="3" borderId="2" xfId="13" applyNumberFormat="1" applyFont="1" applyFill="1" applyBorder="1" applyAlignment="1">
      <alignment horizontal="right" vertical="top"/>
    </xf>
    <xf numFmtId="0" fontId="15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4" fillId="3" borderId="8" xfId="0" applyFont="1" applyFill="1" applyBorder="1" applyAlignment="1"/>
    <xf numFmtId="0" fontId="24" fillId="3" borderId="14" xfId="0" applyFont="1" applyFill="1" applyBorder="1" applyAlignment="1"/>
    <xf numFmtId="41" fontId="5" fillId="3" borderId="3" xfId="13" applyNumberFormat="1" applyFont="1" applyFill="1" applyBorder="1" applyAlignment="1">
      <alignment horizontal="center" vertical="top" wrapText="1"/>
    </xf>
    <xf numFmtId="0" fontId="5" fillId="3" borderId="0" xfId="0" applyFont="1" applyFill="1" applyAlignment="1"/>
    <xf numFmtId="0" fontId="15" fillId="3" borderId="3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wrapText="1"/>
    </xf>
    <xf numFmtId="0" fontId="24" fillId="3" borderId="14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41" fontId="24" fillId="3" borderId="3" xfId="0" applyNumberFormat="1" applyFont="1" applyFill="1" applyBorder="1"/>
    <xf numFmtId="0" fontId="24" fillId="3" borderId="1" xfId="0" applyFont="1" applyFill="1" applyBorder="1"/>
    <xf numFmtId="0" fontId="24" fillId="3" borderId="11" xfId="0" applyFont="1" applyFill="1" applyBorder="1"/>
    <xf numFmtId="0" fontId="24" fillId="3" borderId="2" xfId="0" applyFont="1" applyFill="1" applyBorder="1" applyAlignment="1">
      <alignment horizontal="left" vertical="top" wrapText="1"/>
    </xf>
    <xf numFmtId="41" fontId="24" fillId="4" borderId="9" xfId="13" applyNumberFormat="1" applyFont="1" applyFill="1" applyBorder="1" applyAlignment="1">
      <alignment vertical="top"/>
    </xf>
    <xf numFmtId="0" fontId="15" fillId="4" borderId="9" xfId="0" applyFont="1" applyFill="1" applyBorder="1" applyAlignment="1">
      <alignment horizontal="center" vertical="center" wrapText="1"/>
    </xf>
    <xf numFmtId="0" fontId="5" fillId="4" borderId="0" xfId="0" applyFont="1" applyFill="1"/>
    <xf numFmtId="41" fontId="24" fillId="4" borderId="2" xfId="13" applyNumberFormat="1" applyFont="1" applyFill="1" applyBorder="1" applyAlignment="1">
      <alignment vertical="top"/>
    </xf>
    <xf numFmtId="41" fontId="24" fillId="4" borderId="3" xfId="0" applyNumberFormat="1" applyFont="1" applyFill="1" applyBorder="1" applyAlignment="1">
      <alignment vertical="top"/>
    </xf>
    <xf numFmtId="0" fontId="15" fillId="4" borderId="3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41" fontId="24" fillId="4" borderId="3" xfId="13" applyNumberFormat="1" applyFont="1" applyFill="1" applyBorder="1" applyAlignment="1">
      <alignment vertical="top"/>
    </xf>
    <xf numFmtId="41" fontId="5" fillId="4" borderId="3" xfId="13" applyNumberFormat="1" applyFont="1" applyFill="1" applyBorder="1" applyAlignment="1">
      <alignment horizontal="center" vertical="top" wrapText="1"/>
    </xf>
    <xf numFmtId="43" fontId="39" fillId="3" borderId="3" xfId="13" applyFont="1" applyFill="1" applyBorder="1" applyAlignment="1">
      <alignment vertical="center" wrapText="1"/>
    </xf>
    <xf numFmtId="41" fontId="24" fillId="3" borderId="2" xfId="0" applyNumberFormat="1" applyFont="1" applyFill="1" applyBorder="1"/>
    <xf numFmtId="41" fontId="25" fillId="0" borderId="3" xfId="0" applyNumberFormat="1" applyFont="1" applyFill="1" applyBorder="1" applyAlignment="1">
      <alignment horizontal="center" vertical="center"/>
    </xf>
    <xf numFmtId="41" fontId="39" fillId="0" borderId="2" xfId="0" applyNumberFormat="1" applyFont="1" applyBorder="1" applyAlignment="1">
      <alignment horizontal="center" vertical="center" wrapText="1"/>
    </xf>
    <xf numFmtId="41" fontId="19" fillId="0" borderId="0" xfId="0" applyNumberFormat="1" applyFont="1"/>
    <xf numFmtId="41" fontId="15" fillId="4" borderId="3" xfId="0" applyNumberFormat="1" applyFont="1" applyFill="1" applyBorder="1" applyAlignment="1">
      <alignment horizontal="center" vertical="center" wrapText="1"/>
    </xf>
    <xf numFmtId="41" fontId="15" fillId="4" borderId="3" xfId="0" applyNumberFormat="1" applyFont="1" applyFill="1" applyBorder="1" applyAlignment="1">
      <alignment horizontal="center" vertical="center"/>
    </xf>
    <xf numFmtId="41" fontId="15" fillId="0" borderId="3" xfId="0" applyNumberFormat="1" applyFont="1" applyFill="1" applyBorder="1" applyAlignment="1">
      <alignment horizontal="center" vertical="center" wrapText="1"/>
    </xf>
    <xf numFmtId="41" fontId="15" fillId="11" borderId="2" xfId="13" applyNumberFormat="1" applyFont="1" applyFill="1" applyBorder="1" applyAlignment="1">
      <alignment horizontal="center" vertical="center" wrapText="1"/>
    </xf>
    <xf numFmtId="41" fontId="15" fillId="0" borderId="3" xfId="13" applyNumberFormat="1" applyFont="1" applyFill="1" applyBorder="1" applyAlignment="1">
      <alignment horizontal="center" vertical="top" wrapText="1"/>
    </xf>
    <xf numFmtId="41" fontId="15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horizontal="center" vertical="center"/>
    </xf>
    <xf numFmtId="41" fontId="15" fillId="0" borderId="2" xfId="0" applyNumberFormat="1" applyFont="1" applyBorder="1" applyAlignment="1">
      <alignment horizontal="center" vertical="center" wrapText="1"/>
    </xf>
    <xf numFmtId="41" fontId="15" fillId="11" borderId="3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41" fontId="15" fillId="4" borderId="3" xfId="13" applyNumberFormat="1" applyFont="1" applyFill="1" applyBorder="1" applyAlignment="1">
      <alignment horizontal="center" vertical="center" wrapText="1"/>
    </xf>
    <xf numFmtId="0" fontId="14" fillId="11" borderId="8" xfId="0" applyFont="1" applyFill="1" applyBorder="1"/>
    <xf numFmtId="0" fontId="14" fillId="11" borderId="14" xfId="0" applyFont="1" applyFill="1" applyBorder="1"/>
    <xf numFmtId="43" fontId="14" fillId="11" borderId="3" xfId="13" applyFont="1" applyFill="1" applyBorder="1" applyAlignment="1">
      <alignment horizontal="right" vertical="top"/>
    </xf>
    <xf numFmtId="41" fontId="14" fillId="11" borderId="4" xfId="0" applyNumberFormat="1" applyFont="1" applyFill="1" applyBorder="1" applyAlignment="1">
      <alignment horizontal="right" vertical="top"/>
    </xf>
    <xf numFmtId="0" fontId="6" fillId="11" borderId="9" xfId="0" applyFont="1" applyFill="1" applyBorder="1" applyAlignment="1">
      <alignment horizontal="center" vertical="center" wrapText="1"/>
    </xf>
    <xf numFmtId="0" fontId="4" fillId="3" borderId="0" xfId="0" applyFont="1" applyFill="1"/>
    <xf numFmtId="43" fontId="24" fillId="0" borderId="2" xfId="13" applyFont="1" applyBorder="1" applyAlignment="1">
      <alignment horizontal="right" vertical="top"/>
    </xf>
    <xf numFmtId="43" fontId="24" fillId="3" borderId="2" xfId="13" applyFont="1" applyFill="1" applyBorder="1" applyAlignment="1">
      <alignment horizontal="right" vertical="top"/>
    </xf>
    <xf numFmtId="0" fontId="24" fillId="0" borderId="15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41" fontId="24" fillId="0" borderId="2" xfId="0" applyNumberFormat="1" applyFont="1" applyFill="1" applyBorder="1" applyAlignment="1">
      <alignment vertical="top"/>
    </xf>
    <xf numFmtId="0" fontId="24" fillId="0" borderId="10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5" fillId="0" borderId="1" xfId="0" applyFont="1" applyFill="1" applyBorder="1"/>
    <xf numFmtId="0" fontId="25" fillId="0" borderId="11" xfId="0" applyFont="1" applyFill="1" applyBorder="1"/>
    <xf numFmtId="41" fontId="14" fillId="0" borderId="0" xfId="0" applyNumberFormat="1" applyFont="1" applyFill="1"/>
    <xf numFmtId="0" fontId="14" fillId="11" borderId="0" xfId="0" applyFont="1" applyFill="1"/>
    <xf numFmtId="41" fontId="6" fillId="3" borderId="1" xfId="0" applyNumberFormat="1" applyFont="1" applyFill="1" applyBorder="1" applyAlignment="1">
      <alignment horizontal="left" vertical="top" wrapText="1"/>
    </xf>
    <xf numFmtId="41" fontId="6" fillId="3" borderId="2" xfId="0" applyNumberFormat="1" applyFont="1" applyFill="1" applyBorder="1" applyAlignment="1">
      <alignment horizontal="left" vertical="top" wrapText="1"/>
    </xf>
    <xf numFmtId="41" fontId="6" fillId="3" borderId="3" xfId="0" applyNumberFormat="1" applyFont="1" applyFill="1" applyBorder="1" applyAlignment="1">
      <alignment horizontal="left" vertical="top" wrapText="1"/>
    </xf>
    <xf numFmtId="41" fontId="6" fillId="3" borderId="8" xfId="0" applyNumberFormat="1" applyFont="1" applyFill="1" applyBorder="1" applyAlignment="1">
      <alignment horizontal="left" vertical="top" wrapText="1"/>
    </xf>
    <xf numFmtId="41" fontId="6" fillId="3" borderId="9" xfId="0" applyNumberFormat="1" applyFont="1" applyFill="1" applyBorder="1" applyAlignment="1">
      <alignment horizontal="left" vertical="top" wrapText="1"/>
    </xf>
    <xf numFmtId="41" fontId="23" fillId="0" borderId="0" xfId="0" applyNumberFormat="1" applyFont="1" applyBorder="1" applyAlignment="1">
      <alignment horizontal="center" vertical="center" wrapText="1"/>
    </xf>
    <xf numFmtId="41" fontId="14" fillId="0" borderId="0" xfId="0" applyNumberFormat="1" applyFont="1" applyBorder="1" applyAlignment="1">
      <alignment horizontal="center" vertical="center" wrapText="1"/>
    </xf>
    <xf numFmtId="41" fontId="14" fillId="3" borderId="3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1" fontId="14" fillId="3" borderId="1" xfId="0" applyNumberFormat="1" applyFont="1" applyFill="1" applyBorder="1" applyAlignment="1">
      <alignment horizontal="center" vertical="center" wrapText="1"/>
    </xf>
    <xf numFmtId="41" fontId="14" fillId="3" borderId="11" xfId="0" applyNumberFormat="1" applyFont="1" applyFill="1" applyBorder="1" applyAlignment="1">
      <alignment horizontal="center" vertical="center" wrapText="1"/>
    </xf>
    <xf numFmtId="41" fontId="14" fillId="3" borderId="2" xfId="0" applyNumberFormat="1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/>
    </xf>
    <xf numFmtId="41" fontId="6" fillId="3" borderId="3" xfId="0" applyNumberFormat="1" applyFont="1" applyFill="1" applyBorder="1" applyAlignment="1">
      <alignment horizontal="center" vertical="top" wrapText="1"/>
    </xf>
    <xf numFmtId="41" fontId="5" fillId="3" borderId="5" xfId="0" applyNumberFormat="1" applyFont="1" applyFill="1" applyBorder="1" applyAlignment="1">
      <alignment horizontal="center" vertical="center" wrapText="1"/>
    </xf>
    <xf numFmtId="41" fontId="5" fillId="3" borderId="9" xfId="0" applyNumberFormat="1" applyFont="1" applyFill="1" applyBorder="1" applyAlignment="1">
      <alignment horizontal="center" vertical="center" wrapText="1"/>
    </xf>
    <xf numFmtId="41" fontId="6" fillId="3" borderId="6" xfId="0" applyNumberFormat="1" applyFont="1" applyFill="1" applyBorder="1" applyAlignment="1">
      <alignment horizontal="left" vertical="top" wrapText="1"/>
    </xf>
    <xf numFmtId="41" fontId="6" fillId="3" borderId="4" xfId="0" applyNumberFormat="1" applyFont="1" applyFill="1" applyBorder="1" applyAlignment="1">
      <alignment horizontal="left" vertical="top" wrapText="1"/>
    </xf>
    <xf numFmtId="41" fontId="6" fillId="3" borderId="1" xfId="0" applyNumberFormat="1" applyFont="1" applyFill="1" applyBorder="1" applyAlignment="1">
      <alignment horizontal="center" vertical="top" wrapText="1"/>
    </xf>
    <xf numFmtId="41" fontId="6" fillId="3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20" fillId="3" borderId="2" xfId="0" applyNumberFormat="1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1" fontId="6" fillId="2" borderId="5" xfId="0" applyNumberFormat="1" applyFont="1" applyFill="1" applyBorder="1" applyAlignment="1">
      <alignment horizontal="center" vertical="center" wrapText="1"/>
    </xf>
    <xf numFmtId="41" fontId="6" fillId="2" borderId="9" xfId="0" applyNumberFormat="1" applyFont="1" applyFill="1" applyBorder="1" applyAlignment="1">
      <alignment horizontal="center" vertical="center" wrapText="1"/>
    </xf>
    <xf numFmtId="41" fontId="6" fillId="2" borderId="3" xfId="0" applyNumberFormat="1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/>
    </xf>
    <xf numFmtId="0" fontId="14" fillId="5" borderId="3" xfId="5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41" fontId="10" fillId="8" borderId="1" xfId="0" applyNumberFormat="1" applyFont="1" applyFill="1" applyBorder="1" applyAlignment="1">
      <alignment horizontal="center"/>
    </xf>
    <xf numFmtId="41" fontId="10" fillId="8" borderId="2" xfId="0" applyNumberFormat="1" applyFont="1" applyFill="1" applyBorder="1" applyAlignment="1">
      <alignment horizontal="center"/>
    </xf>
    <xf numFmtId="41" fontId="34" fillId="7" borderId="1" xfId="0" applyNumberFormat="1" applyFont="1" applyFill="1" applyBorder="1" applyAlignment="1">
      <alignment horizontal="center" vertical="center" wrapText="1"/>
    </xf>
    <xf numFmtId="41" fontId="34" fillId="7" borderId="11" xfId="0" applyNumberFormat="1" applyFont="1" applyFill="1" applyBorder="1" applyAlignment="1">
      <alignment horizontal="center" vertical="center" wrapText="1"/>
    </xf>
    <xf numFmtId="41" fontId="34" fillId="7" borderId="2" xfId="0" applyNumberFormat="1" applyFont="1" applyFill="1" applyBorder="1" applyAlignment="1">
      <alignment horizontal="center" vertical="center" wrapText="1"/>
    </xf>
    <xf numFmtId="41" fontId="10" fillId="7" borderId="5" xfId="0" applyNumberFormat="1" applyFont="1" applyFill="1" applyBorder="1" applyAlignment="1">
      <alignment horizontal="center" vertical="center"/>
    </xf>
    <xf numFmtId="41" fontId="10" fillId="7" borderId="9" xfId="0" applyNumberFormat="1" applyFont="1" applyFill="1" applyBorder="1" applyAlignment="1">
      <alignment horizontal="center" vertical="center"/>
    </xf>
    <xf numFmtId="41" fontId="10" fillId="7" borderId="5" xfId="0" applyNumberFormat="1" applyFont="1" applyFill="1" applyBorder="1" applyAlignment="1">
      <alignment horizontal="center" vertical="center" wrapText="1"/>
    </xf>
    <xf numFmtId="41" fontId="10" fillId="7" borderId="9" xfId="0" applyNumberFormat="1" applyFont="1" applyFill="1" applyBorder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 wrapText="1"/>
    </xf>
    <xf numFmtId="41" fontId="10" fillId="0" borderId="0" xfId="0" applyNumberFormat="1" applyFont="1" applyAlignment="1">
      <alignment horizontal="center" vertical="center"/>
    </xf>
    <xf numFmtId="41" fontId="33" fillId="0" borderId="10" xfId="0" applyNumberFormat="1" applyFont="1" applyBorder="1" applyAlignment="1">
      <alignment horizontal="right"/>
    </xf>
    <xf numFmtId="41" fontId="10" fillId="0" borderId="5" xfId="0" applyNumberFormat="1" applyFont="1" applyBorder="1" applyAlignment="1">
      <alignment horizontal="center" vertical="top"/>
    </xf>
    <xf numFmtId="41" fontId="10" fillId="0" borderId="7" xfId="0" applyNumberFormat="1" applyFont="1" applyBorder="1" applyAlignment="1">
      <alignment horizontal="center" vertical="top"/>
    </xf>
    <xf numFmtId="41" fontId="34" fillId="7" borderId="5" xfId="0" applyNumberFormat="1" applyFont="1" applyFill="1" applyBorder="1" applyAlignment="1">
      <alignment horizontal="center" vertical="center" wrapText="1"/>
    </xf>
    <xf numFmtId="41" fontId="34" fillId="7" borderId="9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24" fillId="11" borderId="14" xfId="0" applyFont="1" applyFill="1" applyBorder="1" applyAlignment="1">
      <alignment horizontal="left" vertical="top" wrapText="1"/>
    </xf>
    <xf numFmtId="0" fontId="24" fillId="11" borderId="15" xfId="0" applyFont="1" applyFill="1" applyBorder="1" applyAlignment="1">
      <alignment horizontal="left" vertical="top" wrapText="1"/>
    </xf>
    <xf numFmtId="0" fontId="24" fillId="11" borderId="11" xfId="0" applyFont="1" applyFill="1" applyBorder="1" applyAlignment="1">
      <alignment horizontal="left" vertical="top" wrapText="1"/>
    </xf>
    <xf numFmtId="0" fontId="24" fillId="11" borderId="2" xfId="0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 wrapText="1"/>
    </xf>
    <xf numFmtId="0" fontId="14" fillId="10" borderId="0" xfId="0" applyFont="1" applyFill="1" applyBorder="1" applyAlignment="1">
      <alignment horizontal="left" vertical="top" wrapText="1"/>
    </xf>
    <xf numFmtId="0" fontId="14" fillId="10" borderId="13" xfId="0" applyFont="1" applyFill="1" applyBorder="1" applyAlignment="1">
      <alignment horizontal="left" vertical="top" wrapText="1"/>
    </xf>
    <xf numFmtId="0" fontId="24" fillId="11" borderId="14" xfId="0" applyFont="1" applyFill="1" applyBorder="1" applyAlignment="1">
      <alignment horizontal="left" vertical="top"/>
    </xf>
    <xf numFmtId="0" fontId="24" fillId="11" borderId="15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4" fillId="0" borderId="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top" wrapText="1"/>
    </xf>
    <xf numFmtId="0" fontId="24" fillId="4" borderId="11" xfId="0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left" vertical="top"/>
    </xf>
    <xf numFmtId="0" fontId="24" fillId="4" borderId="3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10" borderId="5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14" fillId="10" borderId="12" xfId="0" applyFont="1" applyFill="1" applyBorder="1" applyAlignment="1">
      <alignment horizontal="left" wrapText="1"/>
    </xf>
    <xf numFmtId="0" fontId="14" fillId="10" borderId="10" xfId="0" applyFont="1" applyFill="1" applyBorder="1" applyAlignment="1">
      <alignment horizontal="left" wrapText="1"/>
    </xf>
    <xf numFmtId="0" fontId="14" fillId="10" borderId="4" xfId="0" applyFont="1" applyFill="1" applyBorder="1" applyAlignment="1">
      <alignment horizontal="left" wrapText="1"/>
    </xf>
    <xf numFmtId="0" fontId="24" fillId="4" borderId="5" xfId="0" applyFont="1" applyFill="1" applyBorder="1" applyAlignment="1">
      <alignment horizontal="left" vertical="top" wrapText="1"/>
    </xf>
    <xf numFmtId="0" fontId="24" fillId="11" borderId="1" xfId="0" applyFont="1" applyFill="1" applyBorder="1" applyAlignment="1">
      <alignment horizontal="center"/>
    </xf>
    <xf numFmtId="0" fontId="24" fillId="11" borderId="11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left" vertical="top"/>
    </xf>
    <xf numFmtId="0" fontId="14" fillId="11" borderId="15" xfId="0" applyFont="1" applyFill="1" applyBorder="1" applyAlignment="1">
      <alignment horizontal="left" vertical="top"/>
    </xf>
    <xf numFmtId="43" fontId="24" fillId="11" borderId="11" xfId="13" applyFont="1" applyFill="1" applyBorder="1" applyAlignment="1">
      <alignment horizontal="left" vertical="top" wrapText="1"/>
    </xf>
    <xf numFmtId="43" fontId="24" fillId="11" borderId="2" xfId="13" applyFont="1" applyFill="1" applyBorder="1" applyAlignment="1">
      <alignment horizontal="left" vertical="top" wrapText="1"/>
    </xf>
    <xf numFmtId="0" fontId="14" fillId="10" borderId="6" xfId="0" applyFont="1" applyFill="1" applyBorder="1" applyAlignment="1">
      <alignment horizontal="left" vertical="top"/>
    </xf>
    <xf numFmtId="0" fontId="14" fillId="10" borderId="0" xfId="0" applyFont="1" applyFill="1" applyBorder="1" applyAlignment="1">
      <alignment horizontal="left" vertical="top"/>
    </xf>
    <xf numFmtId="0" fontId="14" fillId="10" borderId="13" xfId="0" applyFont="1" applyFill="1" applyBorder="1" applyAlignment="1">
      <alignment horizontal="left" vertical="top"/>
    </xf>
    <xf numFmtId="0" fontId="14" fillId="10" borderId="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9" borderId="1" xfId="0" applyFont="1" applyFill="1" applyBorder="1" applyAlignment="1" applyProtection="1">
      <alignment horizontal="left" vertical="top" wrapText="1"/>
      <protection locked="0"/>
    </xf>
    <xf numFmtId="0" fontId="14" fillId="9" borderId="11" xfId="0" applyFont="1" applyFill="1" applyBorder="1" applyAlignment="1" applyProtection="1">
      <alignment horizontal="left" vertical="top" wrapText="1"/>
      <protection locked="0"/>
    </xf>
    <xf numFmtId="0" fontId="14" fillId="9" borderId="2" xfId="0" applyFont="1" applyFill="1" applyBorder="1" applyAlignment="1" applyProtection="1">
      <alignment horizontal="left" vertical="top" wrapText="1"/>
      <protection locked="0"/>
    </xf>
    <xf numFmtId="49" fontId="14" fillId="10" borderId="3" xfId="0" applyNumberFormat="1" applyFont="1" applyFill="1" applyBorder="1" applyAlignment="1">
      <alignment horizontal="left" vertical="top" wrapText="1"/>
    </xf>
    <xf numFmtId="0" fontId="14" fillId="11" borderId="2" xfId="0" applyFont="1" applyFill="1" applyBorder="1" applyAlignment="1">
      <alignment horizontal="left" vertical="top" wrapText="1"/>
    </xf>
    <xf numFmtId="0" fontId="14" fillId="11" borderId="3" xfId="0" applyFont="1" applyFill="1" applyBorder="1" applyAlignment="1">
      <alignment horizontal="left" vertical="top" wrapText="1"/>
    </xf>
    <xf numFmtId="0" fontId="14" fillId="11" borderId="11" xfId="0" applyFont="1" applyFill="1" applyBorder="1" applyAlignment="1">
      <alignment horizontal="left" vertical="top" wrapText="1"/>
    </xf>
    <xf numFmtId="0" fontId="33" fillId="10" borderId="3" xfId="0" applyFont="1" applyFill="1" applyBorder="1" applyAlignment="1">
      <alignment horizontal="left" vertical="top" wrapText="1"/>
    </xf>
    <xf numFmtId="0" fontId="33" fillId="4" borderId="14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14" fillId="11" borderId="14" xfId="0" applyFont="1" applyFill="1" applyBorder="1" applyAlignment="1">
      <alignment horizontal="left" vertical="top" wrapText="1"/>
    </xf>
    <xf numFmtId="0" fontId="14" fillId="11" borderId="15" xfId="0" applyFont="1" applyFill="1" applyBorder="1" applyAlignment="1">
      <alignment horizontal="left" vertical="top" wrapText="1"/>
    </xf>
    <xf numFmtId="0" fontId="14" fillId="10" borderId="3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right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</cellXfs>
  <cellStyles count="16">
    <cellStyle name="Comma" xfId="13" builtinId="3"/>
    <cellStyle name="Comma 2" xfId="15"/>
    <cellStyle name="Comma 3" xfId="2"/>
    <cellStyle name="Comma 4" xfId="4"/>
    <cellStyle name="Normal" xfId="0" builtinId="0"/>
    <cellStyle name="Normal 2" xfId="5"/>
    <cellStyle name="Normal 3" xfId="11"/>
    <cellStyle name="Normal 4" xfId="3"/>
    <cellStyle name="เครื่องหมายจุลภาค 2" xfId="1"/>
    <cellStyle name="เครื่องหมายจุลภาค 2 2" xfId="6"/>
    <cellStyle name="เครื่องหมายจุลภาค 2 3" xfId="12"/>
    <cellStyle name="เครื่องหมายจุลภาค 3 2 3 2" xfId="7"/>
    <cellStyle name="ปกติ 2" xfId="8"/>
    <cellStyle name="ปกติ 2 2" xfId="9"/>
    <cellStyle name="ปกติ 2_Template วิเคราะห์แผนพัฒนา ส่ง มท." xfId="10"/>
    <cellStyle name="ปกติ 3" xfId="14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142875</xdr:rowOff>
    </xdr:from>
    <xdr:to>
      <xdr:col>9</xdr:col>
      <xdr:colOff>1266825</xdr:colOff>
      <xdr:row>1</xdr:row>
      <xdr:rowOff>257175</xdr:rowOff>
    </xdr:to>
    <xdr:sp macro="" textlink="">
      <xdr:nvSpPr>
        <xdr:cNvPr id="3" name="TextBox 2"/>
        <xdr:cNvSpPr txBox="1"/>
      </xdr:nvSpPr>
      <xdr:spPr>
        <a:xfrm>
          <a:off x="9620250" y="142875"/>
          <a:ext cx="126682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งบจังหวัด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114300</xdr:rowOff>
    </xdr:from>
    <xdr:to>
      <xdr:col>9</xdr:col>
      <xdr:colOff>561975</xdr:colOff>
      <xdr:row>2</xdr:row>
      <xdr:rowOff>28575</xdr:rowOff>
    </xdr:to>
    <xdr:sp macro="" textlink="">
      <xdr:nvSpPr>
        <xdr:cNvPr id="2" name="TextBox 1"/>
        <xdr:cNvSpPr txBox="1"/>
      </xdr:nvSpPr>
      <xdr:spPr>
        <a:xfrm>
          <a:off x="8486775" y="114300"/>
          <a:ext cx="13525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งบกลุ่มจังหวัด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1571625</xdr:colOff>
      <xdr:row>0</xdr:row>
      <xdr:rowOff>190500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848850" y="190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533400</xdr:colOff>
      <xdr:row>0</xdr:row>
      <xdr:rowOff>0</xdr:rowOff>
    </xdr:from>
    <xdr:ext cx="1209675" cy="32419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24950" y="0"/>
          <a:ext cx="1209675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zoomScale="80" zoomScaleNormal="80" zoomScaleSheetLayoutView="55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11" sqref="E11"/>
    </sheetView>
  </sheetViews>
  <sheetFormatPr defaultRowHeight="14.25" x14ac:dyDescent="0.2"/>
  <cols>
    <col min="1" max="1" width="3" style="1" customWidth="1"/>
    <col min="2" max="2" width="45.75" style="1" customWidth="1"/>
    <col min="3" max="3" width="12.125" style="1" customWidth="1"/>
    <col min="4" max="4" width="11.375" style="1" customWidth="1"/>
    <col min="5" max="5" width="12" style="1" customWidth="1"/>
    <col min="6" max="6" width="9" style="1" customWidth="1"/>
    <col min="7" max="7" width="9.125" style="1" customWidth="1"/>
    <col min="8" max="8" width="11.75" style="1" customWidth="1"/>
    <col min="9" max="9" width="14.75" style="1" customWidth="1"/>
    <col min="10" max="10" width="11.25" style="1" customWidth="1"/>
    <col min="11" max="11" width="14.75" style="1" customWidth="1"/>
    <col min="12" max="12" width="13.875" style="1" customWidth="1"/>
    <col min="13" max="13" width="7.125" style="1" customWidth="1"/>
    <col min="14" max="14" width="11.625" style="1" customWidth="1"/>
    <col min="15" max="15" width="16.375" style="1" customWidth="1"/>
    <col min="16" max="16" width="18.5" style="1" customWidth="1"/>
    <col min="17" max="17" width="16.375" style="1" customWidth="1"/>
    <col min="18" max="18" width="18.125" style="1" customWidth="1"/>
    <col min="19" max="20" width="9" style="1" customWidth="1"/>
    <col min="21" max="16384" width="9" style="1"/>
  </cols>
  <sheetData>
    <row r="1" spans="1:19" ht="23.25" customHeight="1" x14ac:dyDescent="0.2">
      <c r="A1" s="472" t="s">
        <v>200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9" ht="23.25" customHeight="1" x14ac:dyDescent="0.2">
      <c r="A2" s="472" t="s">
        <v>294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</row>
    <row r="3" spans="1:19" ht="17.25" hidden="1" customHeight="1" x14ac:dyDescent="0.2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</row>
    <row r="4" spans="1:19" ht="19.5" customHeight="1" x14ac:dyDescent="0.5">
      <c r="A4" s="20"/>
      <c r="B4" s="20"/>
      <c r="C4" s="20"/>
      <c r="D4" s="20"/>
      <c r="E4" s="20"/>
      <c r="F4" s="20"/>
      <c r="G4" s="20"/>
      <c r="H4" s="480" t="s">
        <v>780</v>
      </c>
      <c r="I4" s="480"/>
      <c r="J4" s="480"/>
      <c r="K4" s="480"/>
      <c r="L4" s="480"/>
      <c r="M4" s="480"/>
      <c r="N4" s="480"/>
    </row>
    <row r="5" spans="1:19" ht="19.5" customHeight="1" x14ac:dyDescent="0.2">
      <c r="A5" s="474" t="s">
        <v>78</v>
      </c>
      <c r="B5" s="474" t="s">
        <v>79</v>
      </c>
      <c r="C5" s="474" t="s">
        <v>195</v>
      </c>
      <c r="D5" s="474"/>
      <c r="E5" s="474"/>
      <c r="F5" s="477" t="s">
        <v>192</v>
      </c>
      <c r="G5" s="478"/>
      <c r="H5" s="478"/>
      <c r="I5" s="478"/>
      <c r="J5" s="479"/>
      <c r="K5" s="474" t="s">
        <v>74</v>
      </c>
      <c r="L5" s="474"/>
      <c r="M5" s="474"/>
      <c r="N5" s="475" t="s">
        <v>0</v>
      </c>
    </row>
    <row r="6" spans="1:19" ht="42.75" customHeight="1" x14ac:dyDescent="0.2">
      <c r="A6" s="474"/>
      <c r="B6" s="474"/>
      <c r="C6" s="72" t="s">
        <v>114</v>
      </c>
      <c r="D6" s="72" t="s">
        <v>83</v>
      </c>
      <c r="E6" s="72" t="s">
        <v>82</v>
      </c>
      <c r="F6" s="72" t="s">
        <v>196</v>
      </c>
      <c r="G6" s="72" t="s">
        <v>73</v>
      </c>
      <c r="H6" s="72" t="s">
        <v>194</v>
      </c>
      <c r="I6" s="72" t="s">
        <v>191</v>
      </c>
      <c r="J6" s="72" t="s">
        <v>302</v>
      </c>
      <c r="K6" s="72" t="s">
        <v>193</v>
      </c>
      <c r="L6" s="72" t="s">
        <v>75</v>
      </c>
      <c r="M6" s="72" t="s">
        <v>76</v>
      </c>
      <c r="N6" s="476"/>
      <c r="P6" s="145">
        <f>136471700-315484.3-1210000</f>
        <v>134946215.69999999</v>
      </c>
      <c r="R6" s="145">
        <f>49526600</f>
        <v>49526600</v>
      </c>
    </row>
    <row r="7" spans="1:19" ht="23.25" customHeight="1" x14ac:dyDescent="0.5">
      <c r="A7" s="481" t="s">
        <v>1</v>
      </c>
      <c r="B7" s="481"/>
      <c r="C7" s="73">
        <f>D7+E7</f>
        <v>184788300</v>
      </c>
      <c r="D7" s="74">
        <f>D8+D115+D130+D140+D154+D155</f>
        <v>49526600</v>
      </c>
      <c r="E7" s="74">
        <f>E8+E115+E130+E140+E155</f>
        <v>135261700</v>
      </c>
      <c r="F7" s="12"/>
      <c r="G7" s="12"/>
      <c r="H7" s="12"/>
      <c r="I7" s="75">
        <f>I8+I115+I130+I140</f>
        <v>128864715.7</v>
      </c>
      <c r="J7" s="75">
        <f>J8+J115+J130+J140+J155</f>
        <v>917441.30000000075</v>
      </c>
      <c r="K7" s="75">
        <f>K8+K115+K130+K140+K154+K155</f>
        <v>135627378.20999998</v>
      </c>
      <c r="L7" s="75">
        <f>L8+L115+L130+L140+L154+L155</f>
        <v>50895437.490000002</v>
      </c>
      <c r="M7" s="75">
        <f>K7*100/O7</f>
        <v>73.521606799001106</v>
      </c>
      <c r="N7" s="76"/>
      <c r="O7" s="229">
        <f>185998300-315484.3-1210000</f>
        <v>184472815.69999999</v>
      </c>
      <c r="P7" s="186" t="s">
        <v>339</v>
      </c>
      <c r="R7" s="186" t="s">
        <v>340</v>
      </c>
    </row>
    <row r="8" spans="1:19" ht="23.25" customHeight="1" x14ac:dyDescent="0.2">
      <c r="A8" s="481" t="s">
        <v>2</v>
      </c>
      <c r="B8" s="481"/>
      <c r="C8" s="73">
        <f>C9+C40+C79+C96+C106+C109</f>
        <v>149540500</v>
      </c>
      <c r="D8" s="73">
        <f>D9+D40+D79+D96+D106+D109</f>
        <v>20649300</v>
      </c>
      <c r="E8" s="73">
        <f>E9+E40+E79+E96+E106+E109</f>
        <v>128891200</v>
      </c>
      <c r="F8" s="77"/>
      <c r="G8" s="12"/>
      <c r="H8" s="12"/>
      <c r="I8" s="75">
        <f>I9+I40+I79+I96+I106+I109</f>
        <v>128489715.7</v>
      </c>
      <c r="J8" s="75">
        <f>J9+J40+J79+J96+J106+J109</f>
        <v>315484.30000000075</v>
      </c>
      <c r="K8" s="75">
        <f>K9+K40+K79+K96+K106+K109</f>
        <v>121416619.81</v>
      </c>
      <c r="L8" s="75">
        <f>L9+L40+L79+L96+L106+L109</f>
        <v>29858395.890000001</v>
      </c>
      <c r="M8" s="75">
        <f>K8*100/C8</f>
        <v>81.193134843069274</v>
      </c>
      <c r="N8" s="78"/>
      <c r="O8" s="144"/>
      <c r="P8" s="185">
        <f>K9+K44+K49+K56+K61+K65+K70+K96+K111+K113+K135+K158+K162+K163+K164</f>
        <v>110989495.7</v>
      </c>
      <c r="Q8" s="144">
        <f>P8*100/P6</f>
        <v>82.24720872998887</v>
      </c>
      <c r="R8" s="185">
        <f>K43+K48+K55+K60+K64+K69+K74+K75+K79+K106+K112+K117+K127+K134+K136+K138+K141+K154+K156+K157+K160+K161+K165</f>
        <v>24637882.509999998</v>
      </c>
      <c r="S8" s="146">
        <f>R8*100/R6</f>
        <v>49.746767413874565</v>
      </c>
    </row>
    <row r="9" spans="1:19" ht="18.75" customHeight="1" x14ac:dyDescent="0.2">
      <c r="A9" s="467" t="s">
        <v>204</v>
      </c>
      <c r="B9" s="468"/>
      <c r="C9" s="73">
        <f>E9</f>
        <v>81596300</v>
      </c>
      <c r="D9" s="73">
        <f t="shared" ref="D9:E9" si="0">D10+D31+D34</f>
        <v>0</v>
      </c>
      <c r="E9" s="73">
        <f t="shared" si="0"/>
        <v>81596300</v>
      </c>
      <c r="F9" s="77"/>
      <c r="G9" s="79"/>
      <c r="H9" s="79"/>
      <c r="I9" s="73">
        <f t="shared" ref="I9:J9" si="1">I10+I31+I34</f>
        <v>81396399</v>
      </c>
      <c r="J9" s="73">
        <f t="shared" si="1"/>
        <v>199901</v>
      </c>
      <c r="K9" s="75">
        <f>K10+K31+K34</f>
        <v>73858679</v>
      </c>
      <c r="L9" s="75">
        <f>L10+L31+L34</f>
        <v>7537720</v>
      </c>
      <c r="M9" s="75">
        <f>K9*100/E9</f>
        <v>90.517191343234927</v>
      </c>
      <c r="N9" s="78"/>
      <c r="P9" s="186"/>
    </row>
    <row r="10" spans="1:19" ht="21" customHeight="1" x14ac:dyDescent="0.2">
      <c r="A10" s="467" t="s">
        <v>205</v>
      </c>
      <c r="B10" s="468"/>
      <c r="C10" s="73">
        <f>E10</f>
        <v>71212600</v>
      </c>
      <c r="D10" s="73">
        <f t="shared" ref="D10:E10" si="2">D11+D12+D13+D14+D15+D16+D17+D18+D19+D20+D21+D22+D23+D24+D25+D26+D27+D28+D29+D30</f>
        <v>0</v>
      </c>
      <c r="E10" s="73">
        <f t="shared" si="2"/>
        <v>71212600</v>
      </c>
      <c r="F10" s="77"/>
      <c r="G10" s="79"/>
      <c r="H10" s="79"/>
      <c r="I10" s="73">
        <f>I11+I12+I13+I14+I15+I16+I17+I18+I19+I20+I21+I22+I23+I24+I25+I26+I27+I28+I29+I30</f>
        <v>71117000</v>
      </c>
      <c r="J10" s="73">
        <f>J11+J12+J13+J14+J15+J16+J17+J18+J19+J20+J21+J22+J23+J24+J25+J26+J27+J28+J29+J30</f>
        <v>95600</v>
      </c>
      <c r="K10" s="75">
        <f>K11+K12+K13+K14+K15+K16+K17+K18+K19+K20+K21+K22+K23+K24+K25+K26+K27+K28+K29+K30</f>
        <v>67073480</v>
      </c>
      <c r="L10" s="75">
        <f>L11+L12+L13+L14+L15+L16+L17+L18+L19+L20+L21+L22+L23+L24+L25+L26+L27+L28+L29+L30</f>
        <v>4043520</v>
      </c>
      <c r="M10" s="75">
        <f>K10*100/E10</f>
        <v>94.187657802130516</v>
      </c>
      <c r="N10" s="81"/>
      <c r="P10" s="183"/>
    </row>
    <row r="11" spans="1:19" ht="69" x14ac:dyDescent="0.2">
      <c r="A11" s="82">
        <v>1</v>
      </c>
      <c r="B11" s="83" t="s">
        <v>605</v>
      </c>
      <c r="C11" s="45">
        <f>E11</f>
        <v>1248000</v>
      </c>
      <c r="D11" s="84">
        <v>0</v>
      </c>
      <c r="E11" s="85">
        <f>1507000-259000</f>
        <v>1248000</v>
      </c>
      <c r="F11" s="86" t="s">
        <v>400</v>
      </c>
      <c r="G11" s="87" t="s">
        <v>201</v>
      </c>
      <c r="H11" s="87" t="s">
        <v>616</v>
      </c>
      <c r="I11" s="84">
        <v>1248000</v>
      </c>
      <c r="J11" s="88">
        <f t="shared" ref="J11:J22" si="3">E11-I11</f>
        <v>0</v>
      </c>
      <c r="K11" s="89">
        <v>1248000</v>
      </c>
      <c r="L11" s="89">
        <f>I11-K11</f>
        <v>0</v>
      </c>
      <c r="M11" s="89">
        <f>K11*100/E11</f>
        <v>100</v>
      </c>
      <c r="N11" s="90" t="s">
        <v>3</v>
      </c>
      <c r="P11" s="183"/>
      <c r="Q11" s="146"/>
      <c r="R11" s="144"/>
    </row>
    <row r="12" spans="1:19" ht="40.5" customHeight="1" x14ac:dyDescent="0.2">
      <c r="A12" s="82">
        <v>2</v>
      </c>
      <c r="B12" s="83" t="s">
        <v>233</v>
      </c>
      <c r="C12" s="45">
        <f t="shared" ref="C12:C30" si="4">E12</f>
        <v>7776000</v>
      </c>
      <c r="D12" s="84">
        <v>0</v>
      </c>
      <c r="E12" s="91">
        <f>8000000-224000</f>
        <v>7776000</v>
      </c>
      <c r="F12" s="86" t="s">
        <v>360</v>
      </c>
      <c r="G12" s="26" t="s">
        <v>280</v>
      </c>
      <c r="H12" s="310" t="s">
        <v>741</v>
      </c>
      <c r="I12" s="84">
        <v>7776000</v>
      </c>
      <c r="J12" s="88">
        <f t="shared" si="3"/>
        <v>0</v>
      </c>
      <c r="K12" s="89">
        <f>933120+933120+933120+933120</f>
        <v>3732480</v>
      </c>
      <c r="L12" s="89">
        <f>I12-K12</f>
        <v>4043520</v>
      </c>
      <c r="M12" s="89">
        <f t="shared" ref="M12:M27" si="5">K12*100/E12</f>
        <v>48</v>
      </c>
      <c r="N12" s="90" t="s">
        <v>3</v>
      </c>
      <c r="P12" s="184"/>
    </row>
    <row r="13" spans="1:19" ht="57.75" customHeight="1" x14ac:dyDescent="0.2">
      <c r="A13" s="82">
        <v>3</v>
      </c>
      <c r="B13" s="83" t="s">
        <v>234</v>
      </c>
      <c r="C13" s="45">
        <f t="shared" si="4"/>
        <v>3740000</v>
      </c>
      <c r="D13" s="84">
        <v>0</v>
      </c>
      <c r="E13" s="91">
        <f>3753100-13100</f>
        <v>3740000</v>
      </c>
      <c r="F13" s="86" t="s">
        <v>400</v>
      </c>
      <c r="G13" s="87" t="s">
        <v>297</v>
      </c>
      <c r="H13" s="87" t="s">
        <v>740</v>
      </c>
      <c r="I13" s="84">
        <v>3740000</v>
      </c>
      <c r="J13" s="88">
        <f t="shared" si="3"/>
        <v>0</v>
      </c>
      <c r="K13" s="89">
        <v>3740000</v>
      </c>
      <c r="L13" s="89">
        <v>0</v>
      </c>
      <c r="M13" s="89">
        <v>100</v>
      </c>
      <c r="N13" s="90" t="s">
        <v>4</v>
      </c>
      <c r="P13" s="183"/>
    </row>
    <row r="14" spans="1:19" ht="58.5" customHeight="1" x14ac:dyDescent="0.2">
      <c r="A14" s="82">
        <v>4</v>
      </c>
      <c r="B14" s="83" t="s">
        <v>235</v>
      </c>
      <c r="C14" s="45">
        <f t="shared" si="4"/>
        <v>3835000</v>
      </c>
      <c r="D14" s="84">
        <v>0</v>
      </c>
      <c r="E14" s="91">
        <f>3850000-15000</f>
        <v>3835000</v>
      </c>
      <c r="F14" s="86" t="s">
        <v>400</v>
      </c>
      <c r="G14" s="87" t="s">
        <v>297</v>
      </c>
      <c r="H14" s="87" t="s">
        <v>739</v>
      </c>
      <c r="I14" s="84">
        <v>3835000</v>
      </c>
      <c r="J14" s="88">
        <f t="shared" si="3"/>
        <v>0</v>
      </c>
      <c r="K14" s="89">
        <v>3835000</v>
      </c>
      <c r="L14" s="89">
        <v>0</v>
      </c>
      <c r="M14" s="89">
        <v>100</v>
      </c>
      <c r="N14" s="90" t="s">
        <v>4</v>
      </c>
      <c r="P14" s="144"/>
      <c r="Q14" s="146"/>
    </row>
    <row r="15" spans="1:19" ht="41.25" customHeight="1" x14ac:dyDescent="0.2">
      <c r="A15" s="82">
        <v>5</v>
      </c>
      <c r="B15" s="83" t="s">
        <v>236</v>
      </c>
      <c r="C15" s="45">
        <f t="shared" si="4"/>
        <v>8800000</v>
      </c>
      <c r="D15" s="84">
        <v>0</v>
      </c>
      <c r="E15" s="91">
        <f>8820000-20000</f>
        <v>8800000</v>
      </c>
      <c r="F15" s="86" t="s">
        <v>400</v>
      </c>
      <c r="G15" s="26" t="s">
        <v>338</v>
      </c>
      <c r="H15" s="87" t="s">
        <v>738</v>
      </c>
      <c r="I15" s="84">
        <v>8800000</v>
      </c>
      <c r="J15" s="84">
        <f t="shared" si="3"/>
        <v>0</v>
      </c>
      <c r="K15" s="89">
        <v>8800000</v>
      </c>
      <c r="L15" s="89">
        <f>I15-K15</f>
        <v>0</v>
      </c>
      <c r="M15" s="89">
        <f t="shared" si="5"/>
        <v>100</v>
      </c>
      <c r="N15" s="90" t="s">
        <v>5</v>
      </c>
    </row>
    <row r="16" spans="1:19" ht="60" customHeight="1" x14ac:dyDescent="0.2">
      <c r="A16" s="82">
        <v>6</v>
      </c>
      <c r="B16" s="83" t="s">
        <v>237</v>
      </c>
      <c r="C16" s="45">
        <f t="shared" si="4"/>
        <v>2390000</v>
      </c>
      <c r="D16" s="84">
        <v>0</v>
      </c>
      <c r="E16" s="91">
        <f>2400000-10000</f>
        <v>2390000</v>
      </c>
      <c r="F16" s="86" t="s">
        <v>400</v>
      </c>
      <c r="G16" s="87" t="s">
        <v>202</v>
      </c>
      <c r="H16" s="87" t="s">
        <v>737</v>
      </c>
      <c r="I16" s="84">
        <v>2390000</v>
      </c>
      <c r="J16" s="84">
        <f t="shared" si="3"/>
        <v>0</v>
      </c>
      <c r="K16" s="89">
        <v>2390000</v>
      </c>
      <c r="L16" s="89">
        <f>I16-K16</f>
        <v>0</v>
      </c>
      <c r="M16" s="89">
        <f t="shared" si="5"/>
        <v>100</v>
      </c>
      <c r="N16" s="90" t="s">
        <v>5</v>
      </c>
    </row>
    <row r="17" spans="1:17" ht="40.5" customHeight="1" x14ac:dyDescent="0.2">
      <c r="A17" s="82">
        <v>7</v>
      </c>
      <c r="B17" s="83" t="s">
        <v>6</v>
      </c>
      <c r="C17" s="45">
        <f t="shared" si="4"/>
        <v>1000000</v>
      </c>
      <c r="D17" s="84">
        <v>0</v>
      </c>
      <c r="E17" s="91">
        <f>1476000-476000</f>
        <v>1000000</v>
      </c>
      <c r="F17" s="86" t="s">
        <v>400</v>
      </c>
      <c r="G17" s="87" t="s">
        <v>280</v>
      </c>
      <c r="H17" s="26" t="s">
        <v>736</v>
      </c>
      <c r="I17" s="84">
        <v>1000000</v>
      </c>
      <c r="J17" s="88">
        <f t="shared" si="3"/>
        <v>0</v>
      </c>
      <c r="K17" s="89">
        <v>1000000</v>
      </c>
      <c r="L17" s="89">
        <v>0</v>
      </c>
      <c r="M17" s="89">
        <v>100</v>
      </c>
      <c r="N17" s="90" t="s">
        <v>7</v>
      </c>
      <c r="Q17" s="144"/>
    </row>
    <row r="18" spans="1:17" ht="39.75" customHeight="1" x14ac:dyDescent="0.2">
      <c r="A18" s="82">
        <v>8</v>
      </c>
      <c r="B18" s="83" t="s">
        <v>238</v>
      </c>
      <c r="C18" s="45">
        <f t="shared" si="4"/>
        <v>3470000</v>
      </c>
      <c r="D18" s="84">
        <v>0</v>
      </c>
      <c r="E18" s="91">
        <f>3527000-57000</f>
        <v>3470000</v>
      </c>
      <c r="F18" s="86" t="s">
        <v>400</v>
      </c>
      <c r="G18" s="87" t="s">
        <v>202</v>
      </c>
      <c r="H18" s="26" t="s">
        <v>735</v>
      </c>
      <c r="I18" s="84">
        <v>3470000</v>
      </c>
      <c r="J18" s="88">
        <f t="shared" si="3"/>
        <v>0</v>
      </c>
      <c r="K18" s="89">
        <v>3470000</v>
      </c>
      <c r="L18" s="89">
        <f>I18-K18</f>
        <v>0</v>
      </c>
      <c r="M18" s="89">
        <f t="shared" si="5"/>
        <v>100</v>
      </c>
      <c r="N18" s="90" t="s">
        <v>7</v>
      </c>
      <c r="Q18" s="144"/>
    </row>
    <row r="19" spans="1:17" ht="57.75" customHeight="1" x14ac:dyDescent="0.2">
      <c r="A19" s="82">
        <v>9</v>
      </c>
      <c r="B19" s="83" t="s">
        <v>239</v>
      </c>
      <c r="C19" s="45">
        <f t="shared" si="4"/>
        <v>2710000</v>
      </c>
      <c r="D19" s="84">
        <v>0</v>
      </c>
      <c r="E19" s="85">
        <v>2710000</v>
      </c>
      <c r="F19" s="86" t="s">
        <v>400</v>
      </c>
      <c r="G19" s="87" t="s">
        <v>280</v>
      </c>
      <c r="H19" s="87" t="s">
        <v>364</v>
      </c>
      <c r="I19" s="84">
        <v>2710000</v>
      </c>
      <c r="J19" s="84">
        <f t="shared" si="3"/>
        <v>0</v>
      </c>
      <c r="K19" s="89">
        <v>2710000</v>
      </c>
      <c r="L19" s="89">
        <v>0</v>
      </c>
      <c r="M19" s="89">
        <f t="shared" si="5"/>
        <v>100</v>
      </c>
      <c r="N19" s="90" t="s">
        <v>7</v>
      </c>
    </row>
    <row r="20" spans="1:17" ht="57.75" customHeight="1" x14ac:dyDescent="0.2">
      <c r="A20" s="82">
        <v>10</v>
      </c>
      <c r="B20" s="83" t="s">
        <v>240</v>
      </c>
      <c r="C20" s="45">
        <f t="shared" si="4"/>
        <v>2200000</v>
      </c>
      <c r="D20" s="84">
        <v>0</v>
      </c>
      <c r="E20" s="91">
        <v>2200000</v>
      </c>
      <c r="F20" s="86" t="s">
        <v>400</v>
      </c>
      <c r="G20" s="87" t="s">
        <v>202</v>
      </c>
      <c r="H20" s="87" t="s">
        <v>364</v>
      </c>
      <c r="I20" s="84">
        <v>2200000</v>
      </c>
      <c r="J20" s="84">
        <f t="shared" si="3"/>
        <v>0</v>
      </c>
      <c r="K20" s="89">
        <v>2200000</v>
      </c>
      <c r="L20" s="89">
        <v>0</v>
      </c>
      <c r="M20" s="89">
        <v>100</v>
      </c>
      <c r="N20" s="90" t="s">
        <v>7</v>
      </c>
    </row>
    <row r="21" spans="1:17" ht="39" customHeight="1" x14ac:dyDescent="0.2">
      <c r="A21" s="82">
        <v>11</v>
      </c>
      <c r="B21" s="93" t="s">
        <v>586</v>
      </c>
      <c r="C21" s="45">
        <f t="shared" si="4"/>
        <v>2290000</v>
      </c>
      <c r="D21" s="84">
        <v>0</v>
      </c>
      <c r="E21" s="91">
        <v>2290000</v>
      </c>
      <c r="F21" s="86" t="s">
        <v>400</v>
      </c>
      <c r="G21" s="87" t="s">
        <v>202</v>
      </c>
      <c r="H21" s="87" t="s">
        <v>364</v>
      </c>
      <c r="I21" s="84">
        <v>2290000</v>
      </c>
      <c r="J21" s="84">
        <f t="shared" si="3"/>
        <v>0</v>
      </c>
      <c r="K21" s="89">
        <v>2290000</v>
      </c>
      <c r="L21" s="89">
        <v>0</v>
      </c>
      <c r="M21" s="89">
        <f t="shared" si="5"/>
        <v>100</v>
      </c>
      <c r="N21" s="90" t="s">
        <v>7</v>
      </c>
    </row>
    <row r="22" spans="1:17" ht="38.25" customHeight="1" x14ac:dyDescent="0.2">
      <c r="A22" s="82">
        <v>12</v>
      </c>
      <c r="B22" s="93" t="s">
        <v>241</v>
      </c>
      <c r="C22" s="45">
        <f t="shared" si="4"/>
        <v>1290000</v>
      </c>
      <c r="D22" s="84">
        <v>0</v>
      </c>
      <c r="E22" s="91">
        <v>1290000</v>
      </c>
      <c r="F22" s="86" t="s">
        <v>400</v>
      </c>
      <c r="G22" s="87" t="s">
        <v>202</v>
      </c>
      <c r="H22" s="87" t="s">
        <v>364</v>
      </c>
      <c r="I22" s="84">
        <v>1290000</v>
      </c>
      <c r="J22" s="84">
        <f t="shared" si="3"/>
        <v>0</v>
      </c>
      <c r="K22" s="89">
        <v>1290000</v>
      </c>
      <c r="L22" s="89">
        <v>0</v>
      </c>
      <c r="M22" s="89">
        <v>100</v>
      </c>
      <c r="N22" s="90" t="s">
        <v>7</v>
      </c>
    </row>
    <row r="23" spans="1:17" ht="39" customHeight="1" x14ac:dyDescent="0.2">
      <c r="A23" s="82">
        <v>13</v>
      </c>
      <c r="B23" s="93" t="s">
        <v>587</v>
      </c>
      <c r="C23" s="45">
        <f t="shared" si="4"/>
        <v>3150000</v>
      </c>
      <c r="D23" s="84">
        <v>0</v>
      </c>
      <c r="E23" s="91">
        <f>3685800-535800</f>
        <v>3150000</v>
      </c>
      <c r="F23" s="86" t="s">
        <v>400</v>
      </c>
      <c r="G23" s="87" t="s">
        <v>202</v>
      </c>
      <c r="H23" s="87" t="s">
        <v>734</v>
      </c>
      <c r="I23" s="84">
        <v>3150000</v>
      </c>
      <c r="J23" s="84">
        <f t="shared" ref="J23:J27" si="6">E23-I23</f>
        <v>0</v>
      </c>
      <c r="K23" s="89">
        <v>3150000</v>
      </c>
      <c r="L23" s="89">
        <f>I23-K23</f>
        <v>0</v>
      </c>
      <c r="M23" s="89">
        <f t="shared" si="5"/>
        <v>100</v>
      </c>
      <c r="N23" s="26" t="s">
        <v>9</v>
      </c>
    </row>
    <row r="24" spans="1:17" ht="55.5" customHeight="1" x14ac:dyDescent="0.2">
      <c r="A24" s="82">
        <v>14</v>
      </c>
      <c r="B24" s="93" t="s">
        <v>242</v>
      </c>
      <c r="C24" s="45">
        <f t="shared" si="4"/>
        <v>2250000</v>
      </c>
      <c r="D24" s="84">
        <v>0</v>
      </c>
      <c r="E24" s="91">
        <f>2945500-695500</f>
        <v>2250000</v>
      </c>
      <c r="F24" s="86" t="s">
        <v>400</v>
      </c>
      <c r="G24" s="87" t="s">
        <v>202</v>
      </c>
      <c r="H24" s="87" t="s">
        <v>363</v>
      </c>
      <c r="I24" s="84">
        <v>2250000</v>
      </c>
      <c r="J24" s="84">
        <f t="shared" si="6"/>
        <v>0</v>
      </c>
      <c r="K24" s="89">
        <v>2250000</v>
      </c>
      <c r="L24" s="89">
        <f>I24-K24</f>
        <v>0</v>
      </c>
      <c r="M24" s="89">
        <f t="shared" si="5"/>
        <v>100</v>
      </c>
      <c r="N24" s="90" t="s">
        <v>9</v>
      </c>
    </row>
    <row r="25" spans="1:17" ht="38.25" customHeight="1" x14ac:dyDescent="0.2">
      <c r="A25" s="82">
        <v>15</v>
      </c>
      <c r="B25" s="93" t="s">
        <v>588</v>
      </c>
      <c r="C25" s="45">
        <f t="shared" si="4"/>
        <v>1900000</v>
      </c>
      <c r="D25" s="84">
        <v>0</v>
      </c>
      <c r="E25" s="91">
        <f>2000000-100000</f>
        <v>1900000</v>
      </c>
      <c r="F25" s="86" t="s">
        <v>400</v>
      </c>
      <c r="G25" s="87" t="s">
        <v>202</v>
      </c>
      <c r="H25" s="87" t="s">
        <v>733</v>
      </c>
      <c r="I25" s="84">
        <v>1900000</v>
      </c>
      <c r="J25" s="84">
        <f t="shared" si="6"/>
        <v>0</v>
      </c>
      <c r="K25" s="89">
        <v>1900000</v>
      </c>
      <c r="L25" s="89">
        <v>0</v>
      </c>
      <c r="M25" s="89">
        <v>100</v>
      </c>
      <c r="N25" s="90" t="s">
        <v>9</v>
      </c>
    </row>
    <row r="26" spans="1:17" ht="39" customHeight="1" x14ac:dyDescent="0.2">
      <c r="A26" s="82">
        <v>16</v>
      </c>
      <c r="B26" s="93" t="s">
        <v>244</v>
      </c>
      <c r="C26" s="45">
        <f t="shared" si="4"/>
        <v>2890000</v>
      </c>
      <c r="D26" s="84">
        <v>0</v>
      </c>
      <c r="E26" s="91">
        <f>3400000-510000</f>
        <v>2890000</v>
      </c>
      <c r="F26" s="86" t="s">
        <v>400</v>
      </c>
      <c r="G26" s="86" t="s">
        <v>281</v>
      </c>
      <c r="H26" s="87" t="s">
        <v>732</v>
      </c>
      <c r="I26" s="84">
        <v>2890000</v>
      </c>
      <c r="J26" s="84">
        <f t="shared" si="6"/>
        <v>0</v>
      </c>
      <c r="K26" s="89">
        <v>2890000</v>
      </c>
      <c r="L26" s="89">
        <f>I26-K26</f>
        <v>0</v>
      </c>
      <c r="M26" s="89">
        <f t="shared" si="5"/>
        <v>100</v>
      </c>
      <c r="N26" s="90" t="s">
        <v>9</v>
      </c>
    </row>
    <row r="27" spans="1:17" ht="43.5" customHeight="1" x14ac:dyDescent="0.2">
      <c r="A27" s="82">
        <v>17</v>
      </c>
      <c r="B27" s="93" t="s">
        <v>245</v>
      </c>
      <c r="C27" s="45">
        <f t="shared" si="4"/>
        <v>3070000</v>
      </c>
      <c r="D27" s="84">
        <v>0</v>
      </c>
      <c r="E27" s="91">
        <v>3070000</v>
      </c>
      <c r="F27" s="86" t="s">
        <v>400</v>
      </c>
      <c r="G27" s="87" t="s">
        <v>365</v>
      </c>
      <c r="H27" s="87" t="s">
        <v>731</v>
      </c>
      <c r="I27" s="84">
        <v>3070000</v>
      </c>
      <c r="J27" s="84">
        <f t="shared" si="6"/>
        <v>0</v>
      </c>
      <c r="K27" s="89">
        <v>3070000</v>
      </c>
      <c r="L27" s="89">
        <v>0</v>
      </c>
      <c r="M27" s="89">
        <f t="shared" si="5"/>
        <v>100</v>
      </c>
      <c r="N27" s="90" t="s">
        <v>10</v>
      </c>
    </row>
    <row r="28" spans="1:17" ht="39" customHeight="1" x14ac:dyDescent="0.2">
      <c r="A28" s="82">
        <v>18</v>
      </c>
      <c r="B28" s="93" t="s">
        <v>246</v>
      </c>
      <c r="C28" s="45">
        <f t="shared" si="4"/>
        <v>3278600</v>
      </c>
      <c r="D28" s="84">
        <v>0</v>
      </c>
      <c r="E28" s="91">
        <f>3270000+8600</f>
        <v>3278600</v>
      </c>
      <c r="F28" s="86" t="s">
        <v>400</v>
      </c>
      <c r="G28" s="87" t="s">
        <v>365</v>
      </c>
      <c r="H28" s="87" t="s">
        <v>731</v>
      </c>
      <c r="I28" s="84">
        <v>3270000</v>
      </c>
      <c r="J28" s="84">
        <v>8600</v>
      </c>
      <c r="K28" s="89">
        <v>3270000</v>
      </c>
      <c r="L28" s="89">
        <v>0</v>
      </c>
      <c r="M28" s="89">
        <v>100</v>
      </c>
      <c r="N28" s="90" t="s">
        <v>10</v>
      </c>
    </row>
    <row r="29" spans="1:17" ht="41.25" customHeight="1" x14ac:dyDescent="0.2">
      <c r="A29" s="82">
        <v>19</v>
      </c>
      <c r="B29" s="93" t="s">
        <v>247</v>
      </c>
      <c r="C29" s="45">
        <f t="shared" si="4"/>
        <v>8775000</v>
      </c>
      <c r="D29" s="84">
        <v>0</v>
      </c>
      <c r="E29" s="91">
        <f>8708000+67000</f>
        <v>8775000</v>
      </c>
      <c r="F29" s="86" t="s">
        <v>400</v>
      </c>
      <c r="G29" s="87" t="s">
        <v>365</v>
      </c>
      <c r="H29" s="87" t="s">
        <v>731</v>
      </c>
      <c r="I29" s="84">
        <v>8708000</v>
      </c>
      <c r="J29" s="84">
        <v>67000</v>
      </c>
      <c r="K29" s="89">
        <v>8708000</v>
      </c>
      <c r="L29" s="89">
        <v>0</v>
      </c>
      <c r="M29" s="89">
        <v>100</v>
      </c>
      <c r="N29" s="90" t="s">
        <v>10</v>
      </c>
    </row>
    <row r="30" spans="1:17" ht="43.5" customHeight="1" x14ac:dyDescent="0.2">
      <c r="A30" s="82">
        <v>20</v>
      </c>
      <c r="B30" s="93" t="s">
        <v>248</v>
      </c>
      <c r="C30" s="45">
        <f t="shared" si="4"/>
        <v>5150000</v>
      </c>
      <c r="D30" s="84">
        <v>0</v>
      </c>
      <c r="E30" s="91">
        <f>5130000+20000</f>
        <v>5150000</v>
      </c>
      <c r="F30" s="86" t="s">
        <v>400</v>
      </c>
      <c r="G30" s="87" t="s">
        <v>365</v>
      </c>
      <c r="H30" s="87" t="s">
        <v>731</v>
      </c>
      <c r="I30" s="84">
        <v>5130000</v>
      </c>
      <c r="J30" s="84">
        <v>20000</v>
      </c>
      <c r="K30" s="89">
        <v>5130000</v>
      </c>
      <c r="L30" s="89">
        <v>0</v>
      </c>
      <c r="M30" s="89">
        <v>100</v>
      </c>
      <c r="N30" s="90" t="s">
        <v>10</v>
      </c>
    </row>
    <row r="31" spans="1:17" ht="21" x14ac:dyDescent="0.2">
      <c r="A31" s="469" t="s">
        <v>206</v>
      </c>
      <c r="B31" s="469"/>
      <c r="C31" s="45">
        <f>E31</f>
        <v>2723000</v>
      </c>
      <c r="D31" s="94">
        <v>0</v>
      </c>
      <c r="E31" s="94">
        <f>E32+E33</f>
        <v>2723000</v>
      </c>
      <c r="F31" s="95"/>
      <c r="G31" s="115"/>
      <c r="H31" s="115"/>
      <c r="I31" s="94">
        <f>I32+I33</f>
        <v>2723000</v>
      </c>
      <c r="J31" s="94">
        <f>J32+J33</f>
        <v>0</v>
      </c>
      <c r="K31" s="89">
        <f>K32+K33</f>
        <v>1633800</v>
      </c>
      <c r="L31" s="89">
        <f>L32+L33</f>
        <v>1089200</v>
      </c>
      <c r="M31" s="89">
        <f>K31*100/E31</f>
        <v>60</v>
      </c>
      <c r="N31" s="26"/>
    </row>
    <row r="32" spans="1:17" ht="69" x14ac:dyDescent="0.35">
      <c r="A32" s="82">
        <v>21</v>
      </c>
      <c r="B32" s="83" t="s">
        <v>249</v>
      </c>
      <c r="C32" s="45">
        <v>0</v>
      </c>
      <c r="D32" s="84">
        <v>0</v>
      </c>
      <c r="E32" s="91">
        <v>0</v>
      </c>
      <c r="F32" s="92" t="s">
        <v>612</v>
      </c>
      <c r="G32" s="87"/>
      <c r="H32" s="87"/>
      <c r="I32" s="84">
        <v>0</v>
      </c>
      <c r="J32" s="88">
        <v>0</v>
      </c>
      <c r="K32" s="89">
        <v>0</v>
      </c>
      <c r="L32" s="89">
        <v>0</v>
      </c>
      <c r="M32" s="89">
        <v>100</v>
      </c>
      <c r="N32" s="90" t="s">
        <v>7</v>
      </c>
      <c r="O32" s="306"/>
    </row>
    <row r="33" spans="1:16" ht="42.75" customHeight="1" x14ac:dyDescent="0.2">
      <c r="A33" s="82">
        <v>22</v>
      </c>
      <c r="B33" s="93" t="s">
        <v>250</v>
      </c>
      <c r="C33" s="45">
        <f>E33</f>
        <v>2723000</v>
      </c>
      <c r="D33" s="84">
        <v>0</v>
      </c>
      <c r="E33" s="91">
        <v>2723000</v>
      </c>
      <c r="F33" s="86" t="s">
        <v>360</v>
      </c>
      <c r="G33" s="87" t="s">
        <v>320</v>
      </c>
      <c r="H33" s="310" t="s">
        <v>730</v>
      </c>
      <c r="I33" s="84">
        <v>2723000</v>
      </c>
      <c r="J33" s="88">
        <f>E33-I33</f>
        <v>0</v>
      </c>
      <c r="K33" s="89">
        <f>680750+953050</f>
        <v>1633800</v>
      </c>
      <c r="L33" s="89">
        <f>I33-K33</f>
        <v>1089200</v>
      </c>
      <c r="M33" s="89">
        <f>K33*100/E33</f>
        <v>60</v>
      </c>
      <c r="N33" s="90" t="s">
        <v>7</v>
      </c>
      <c r="O33" s="144"/>
    </row>
    <row r="34" spans="1:16" ht="21" x14ac:dyDescent="0.2">
      <c r="A34" s="469" t="s">
        <v>207</v>
      </c>
      <c r="B34" s="469"/>
      <c r="C34" s="45">
        <f>E34</f>
        <v>7660700</v>
      </c>
      <c r="D34" s="45">
        <f t="shared" ref="D34:E34" si="7">D35+D36+D37+D38+D39</f>
        <v>0</v>
      </c>
      <c r="E34" s="45">
        <f t="shared" si="7"/>
        <v>7660700</v>
      </c>
      <c r="F34" s="26"/>
      <c r="G34" s="115"/>
      <c r="H34" s="115"/>
      <c r="I34" s="45">
        <f t="shared" ref="I34:J34" si="8">I35+I36+I37+I38+I39</f>
        <v>7556399</v>
      </c>
      <c r="J34" s="45">
        <f t="shared" si="8"/>
        <v>104301</v>
      </c>
      <c r="K34" s="89">
        <f>K35+K36+K37+K38+K39</f>
        <v>5151399</v>
      </c>
      <c r="L34" s="89">
        <f>L35+L36+L37+L38+L39</f>
        <v>2405000</v>
      </c>
      <c r="M34" s="89">
        <f>K34*100/E34</f>
        <v>67.244494628428214</v>
      </c>
      <c r="N34" s="96"/>
    </row>
    <row r="35" spans="1:16" ht="42" customHeight="1" x14ac:dyDescent="0.2">
      <c r="A35" s="82">
        <v>23</v>
      </c>
      <c r="B35" s="93" t="s">
        <v>251</v>
      </c>
      <c r="C35" s="45">
        <f>E35</f>
        <v>990000</v>
      </c>
      <c r="D35" s="84">
        <v>0</v>
      </c>
      <c r="E35" s="85">
        <f>1135000-145000</f>
        <v>990000</v>
      </c>
      <c r="F35" s="86" t="s">
        <v>400</v>
      </c>
      <c r="G35" s="87" t="s">
        <v>283</v>
      </c>
      <c r="H35" s="87" t="s">
        <v>729</v>
      </c>
      <c r="I35" s="84">
        <v>990000</v>
      </c>
      <c r="J35" s="88">
        <f>E35-I35</f>
        <v>0</v>
      </c>
      <c r="K35" s="89">
        <v>990000</v>
      </c>
      <c r="L35" s="89">
        <f>I35-K35</f>
        <v>0</v>
      </c>
      <c r="M35" s="89">
        <f>K35*100/E35</f>
        <v>100</v>
      </c>
      <c r="N35" s="90" t="s">
        <v>3</v>
      </c>
    </row>
    <row r="36" spans="1:16" ht="54.75" customHeight="1" x14ac:dyDescent="0.2">
      <c r="A36" s="82">
        <v>24</v>
      </c>
      <c r="B36" s="93" t="s">
        <v>589</v>
      </c>
      <c r="C36" s="45">
        <f t="shared" ref="C36:C39" si="9">E36</f>
        <v>1662000</v>
      </c>
      <c r="D36" s="84">
        <v>0</v>
      </c>
      <c r="E36" s="91">
        <f>1665000-3000</f>
        <v>1662000</v>
      </c>
      <c r="F36" s="86" t="s">
        <v>400</v>
      </c>
      <c r="G36" s="87" t="s">
        <v>284</v>
      </c>
      <c r="H36" s="87" t="s">
        <v>728</v>
      </c>
      <c r="I36" s="84">
        <v>1557699</v>
      </c>
      <c r="J36" s="84">
        <f>E36-I36</f>
        <v>104301</v>
      </c>
      <c r="K36" s="89">
        <v>1557699</v>
      </c>
      <c r="L36" s="89">
        <f>I36-K36</f>
        <v>0</v>
      </c>
      <c r="M36" s="89">
        <v>100</v>
      </c>
      <c r="N36" s="90" t="s">
        <v>5</v>
      </c>
    </row>
    <row r="37" spans="1:16" ht="56.25" customHeight="1" x14ac:dyDescent="0.2">
      <c r="A37" s="82">
        <v>25</v>
      </c>
      <c r="B37" s="93" t="s">
        <v>334</v>
      </c>
      <c r="C37" s="45">
        <f t="shared" si="9"/>
        <v>1673700</v>
      </c>
      <c r="D37" s="84">
        <v>0</v>
      </c>
      <c r="E37" s="85">
        <f>1788400-114700</f>
        <v>1673700</v>
      </c>
      <c r="F37" s="86" t="s">
        <v>400</v>
      </c>
      <c r="G37" s="87" t="s">
        <v>284</v>
      </c>
      <c r="H37" s="87" t="s">
        <v>727</v>
      </c>
      <c r="I37" s="84">
        <v>1673700</v>
      </c>
      <c r="J37" s="88">
        <f>E37-I37</f>
        <v>0</v>
      </c>
      <c r="K37" s="89">
        <v>1673700</v>
      </c>
      <c r="L37" s="89">
        <f>I37-K37</f>
        <v>0</v>
      </c>
      <c r="M37" s="89">
        <f t="shared" ref="M37:M39" si="10">K37*100/E37</f>
        <v>100</v>
      </c>
      <c r="N37" s="90" t="s">
        <v>7</v>
      </c>
    </row>
    <row r="38" spans="1:16" ht="37.5" customHeight="1" x14ac:dyDescent="0.2">
      <c r="A38" s="82">
        <v>26</v>
      </c>
      <c r="B38" s="93" t="s">
        <v>252</v>
      </c>
      <c r="C38" s="45">
        <f t="shared" si="9"/>
        <v>930000</v>
      </c>
      <c r="D38" s="84">
        <v>0</v>
      </c>
      <c r="E38" s="91">
        <f>985000-55000</f>
        <v>930000</v>
      </c>
      <c r="F38" s="86" t="s">
        <v>400</v>
      </c>
      <c r="G38" s="86" t="s">
        <v>282</v>
      </c>
      <c r="H38" s="87" t="s">
        <v>726</v>
      </c>
      <c r="I38" s="84">
        <v>930000</v>
      </c>
      <c r="J38" s="84">
        <f>E38-I38</f>
        <v>0</v>
      </c>
      <c r="K38" s="89">
        <v>930000</v>
      </c>
      <c r="L38" s="89">
        <f>I38-K38</f>
        <v>0</v>
      </c>
      <c r="M38" s="89">
        <f t="shared" si="10"/>
        <v>100</v>
      </c>
      <c r="N38" s="90" t="s">
        <v>9</v>
      </c>
    </row>
    <row r="39" spans="1:16" ht="61.5" customHeight="1" x14ac:dyDescent="0.2">
      <c r="A39" s="82">
        <v>27</v>
      </c>
      <c r="B39" s="93" t="s">
        <v>342</v>
      </c>
      <c r="C39" s="45">
        <f t="shared" si="9"/>
        <v>2405000</v>
      </c>
      <c r="D39" s="84">
        <v>0</v>
      </c>
      <c r="E39" s="97">
        <f>2701800-296800</f>
        <v>2405000</v>
      </c>
      <c r="F39" s="86" t="s">
        <v>360</v>
      </c>
      <c r="G39" s="87" t="s">
        <v>321</v>
      </c>
      <c r="H39" s="310" t="s">
        <v>725</v>
      </c>
      <c r="I39" s="84">
        <v>2405000</v>
      </c>
      <c r="J39" s="84">
        <f>E39-I39</f>
        <v>0</v>
      </c>
      <c r="K39" s="89">
        <v>0</v>
      </c>
      <c r="L39" s="89">
        <f>I39-K39</f>
        <v>2405000</v>
      </c>
      <c r="M39" s="84">
        <f t="shared" si="10"/>
        <v>0</v>
      </c>
      <c r="N39" s="90" t="s">
        <v>9</v>
      </c>
    </row>
    <row r="40" spans="1:16" ht="26.25" customHeight="1" x14ac:dyDescent="0.2">
      <c r="A40" s="467" t="s">
        <v>208</v>
      </c>
      <c r="B40" s="468"/>
      <c r="C40" s="73">
        <f>D40+E40</f>
        <v>17105000</v>
      </c>
      <c r="D40" s="73">
        <f t="shared" ref="D40:E40" si="11">D41+D58+D75</f>
        <v>12605000</v>
      </c>
      <c r="E40" s="73">
        <f t="shared" si="11"/>
        <v>4500000</v>
      </c>
      <c r="F40" s="26"/>
      <c r="G40" s="163"/>
      <c r="H40" s="163"/>
      <c r="I40" s="73">
        <f t="shared" ref="I40:J40" si="12">I41+I58+I75</f>
        <v>4300000</v>
      </c>
      <c r="J40" s="73">
        <f t="shared" si="12"/>
        <v>114000</v>
      </c>
      <c r="K40" s="98">
        <f>K41+K58+K75</f>
        <v>11070934.77</v>
      </c>
      <c r="L40" s="98">
        <f>L41+L58+L75</f>
        <v>5920065.2300000004</v>
      </c>
      <c r="M40" s="98">
        <f t="shared" ref="M40:M59" si="13">K40*100/C40</f>
        <v>64.72338363051739</v>
      </c>
      <c r="N40" s="99"/>
    </row>
    <row r="41" spans="1:16" ht="22.5" customHeight="1" x14ac:dyDescent="0.2">
      <c r="A41" s="470" t="s">
        <v>209</v>
      </c>
      <c r="B41" s="468"/>
      <c r="C41" s="73">
        <f>D41+E41</f>
        <v>5888400</v>
      </c>
      <c r="D41" s="73">
        <f t="shared" ref="D41:E41" si="14">D42+D47+D54</f>
        <v>3750400</v>
      </c>
      <c r="E41" s="73">
        <f t="shared" si="14"/>
        <v>2138000</v>
      </c>
      <c r="F41" s="26"/>
      <c r="G41" s="164"/>
      <c r="H41" s="164"/>
      <c r="I41" s="73">
        <f t="shared" ref="I41:J41" si="15">I42+I47+I54</f>
        <v>2088000</v>
      </c>
      <c r="J41" s="73">
        <f t="shared" si="15"/>
        <v>50000</v>
      </c>
      <c r="K41" s="75">
        <f>K42+K47+K54</f>
        <v>4025234.77</v>
      </c>
      <c r="L41" s="75">
        <f>L42+L47+L54</f>
        <v>1813165.23</v>
      </c>
      <c r="M41" s="75">
        <f t="shared" si="13"/>
        <v>68.358718327559274</v>
      </c>
      <c r="N41" s="100"/>
    </row>
    <row r="42" spans="1:16" ht="57.75" customHeight="1" x14ac:dyDescent="0.2">
      <c r="A42" s="5">
        <v>28</v>
      </c>
      <c r="B42" s="101" t="s">
        <v>590</v>
      </c>
      <c r="C42" s="45">
        <f>D42+E42</f>
        <v>1225000</v>
      </c>
      <c r="D42" s="102">
        <f>D43</f>
        <v>1116000</v>
      </c>
      <c r="E42" s="102">
        <f>E44</f>
        <v>109000</v>
      </c>
      <c r="F42" s="86" t="s">
        <v>197</v>
      </c>
      <c r="G42" s="87"/>
      <c r="H42" s="87"/>
      <c r="I42" s="84">
        <f>I43+I44</f>
        <v>109000</v>
      </c>
      <c r="J42" s="84">
        <f>J43+J44</f>
        <v>0</v>
      </c>
      <c r="K42" s="89">
        <f>K43+K44</f>
        <v>745280</v>
      </c>
      <c r="L42" s="89">
        <f>L43+L44</f>
        <v>479720</v>
      </c>
      <c r="M42" s="89">
        <f t="shared" si="13"/>
        <v>60.839183673469385</v>
      </c>
      <c r="N42" s="90" t="s">
        <v>12</v>
      </c>
      <c r="P42" s="185">
        <v>178308300</v>
      </c>
    </row>
    <row r="43" spans="1:16" ht="22.5" customHeight="1" x14ac:dyDescent="0.2">
      <c r="A43" s="5"/>
      <c r="B43" s="83" t="s">
        <v>83</v>
      </c>
      <c r="C43" s="45">
        <f>D43</f>
        <v>1116000</v>
      </c>
      <c r="D43" s="102">
        <v>1116000</v>
      </c>
      <c r="E43" s="102"/>
      <c r="F43" s="86"/>
      <c r="G43" s="87"/>
      <c r="H43" s="87"/>
      <c r="I43" s="84"/>
      <c r="J43" s="84"/>
      <c r="K43" s="89">
        <f>87200+100000+156120+69120+99000+100000+9960+14880</f>
        <v>636280</v>
      </c>
      <c r="L43" s="89">
        <f>D43-K43</f>
        <v>479720</v>
      </c>
      <c r="M43" s="89">
        <f>K43*100/D43</f>
        <v>57.014336917562723</v>
      </c>
      <c r="N43" s="90"/>
    </row>
    <row r="44" spans="1:16" ht="22.5" customHeight="1" x14ac:dyDescent="0.2">
      <c r="A44" s="5"/>
      <c r="B44" s="83" t="s">
        <v>262</v>
      </c>
      <c r="C44" s="45">
        <f>E44</f>
        <v>109000</v>
      </c>
      <c r="D44" s="102"/>
      <c r="E44" s="102">
        <f>E45+E46</f>
        <v>109000</v>
      </c>
      <c r="F44" s="86"/>
      <c r="G44" s="87"/>
      <c r="H44" s="87"/>
      <c r="I44" s="84">
        <f>I45+I46</f>
        <v>109000</v>
      </c>
      <c r="J44" s="84">
        <f>J45+J46</f>
        <v>0</v>
      </c>
      <c r="K44" s="89">
        <f>K45+K46</f>
        <v>109000</v>
      </c>
      <c r="L44" s="89">
        <f>E44-K44</f>
        <v>0</v>
      </c>
      <c r="M44" s="89">
        <f>K44*100/E44</f>
        <v>100</v>
      </c>
      <c r="N44" s="90"/>
    </row>
    <row r="45" spans="1:16" ht="36.75" customHeight="1" x14ac:dyDescent="0.2">
      <c r="A45" s="5"/>
      <c r="B45" s="83" t="s">
        <v>269</v>
      </c>
      <c r="C45" s="45">
        <f>E45</f>
        <v>80000</v>
      </c>
      <c r="D45" s="102"/>
      <c r="E45" s="102">
        <v>80000</v>
      </c>
      <c r="F45" s="86" t="s">
        <v>400</v>
      </c>
      <c r="G45" s="87"/>
      <c r="H45" s="87"/>
      <c r="I45" s="84">
        <v>80000</v>
      </c>
      <c r="J45" s="84">
        <f>E45-I45</f>
        <v>0</v>
      </c>
      <c r="K45" s="89">
        <v>80000</v>
      </c>
      <c r="L45" s="89">
        <f>E45-K45</f>
        <v>0</v>
      </c>
      <c r="M45" s="89">
        <f t="shared" ref="M45:M46" si="16">K45*100/E45</f>
        <v>100</v>
      </c>
      <c r="N45" s="90" t="s">
        <v>266</v>
      </c>
      <c r="P45" s="1">
        <v>80000</v>
      </c>
    </row>
    <row r="46" spans="1:16" ht="36.75" customHeight="1" x14ac:dyDescent="0.2">
      <c r="A46" s="5"/>
      <c r="B46" s="83" t="s">
        <v>270</v>
      </c>
      <c r="C46" s="45">
        <f>E46</f>
        <v>29000</v>
      </c>
      <c r="D46" s="102"/>
      <c r="E46" s="102">
        <v>29000</v>
      </c>
      <c r="F46" s="86" t="s">
        <v>400</v>
      </c>
      <c r="G46" s="87"/>
      <c r="H46" s="87"/>
      <c r="I46" s="84">
        <v>29000</v>
      </c>
      <c r="J46" s="84">
        <f>E46-I46</f>
        <v>0</v>
      </c>
      <c r="K46" s="89">
        <v>29000</v>
      </c>
      <c r="L46" s="89">
        <f>E46-K46</f>
        <v>0</v>
      </c>
      <c r="M46" s="89">
        <f t="shared" si="16"/>
        <v>100</v>
      </c>
      <c r="N46" s="90" t="s">
        <v>268</v>
      </c>
      <c r="P46" s="1">
        <v>29000</v>
      </c>
    </row>
    <row r="47" spans="1:16" ht="56.25" customHeight="1" x14ac:dyDescent="0.2">
      <c r="A47" s="5">
        <v>29</v>
      </c>
      <c r="B47" s="101" t="s">
        <v>591</v>
      </c>
      <c r="C47" s="73">
        <f t="shared" ref="C47:C81" si="17">D47+E47</f>
        <v>3420400</v>
      </c>
      <c r="D47" s="74">
        <f>D48</f>
        <v>1474400</v>
      </c>
      <c r="E47" s="74">
        <f>E49</f>
        <v>1946000</v>
      </c>
      <c r="F47" s="153" t="s">
        <v>197</v>
      </c>
      <c r="G47" s="165"/>
      <c r="H47" s="165"/>
      <c r="I47" s="74">
        <f>I48+I49</f>
        <v>1896000</v>
      </c>
      <c r="J47" s="74">
        <f>J48+J49</f>
        <v>50000</v>
      </c>
      <c r="K47" s="75">
        <f>K48+K49</f>
        <v>2575280</v>
      </c>
      <c r="L47" s="75">
        <f>L48+L49</f>
        <v>795120</v>
      </c>
      <c r="M47" s="75">
        <f t="shared" si="13"/>
        <v>75.291778739328734</v>
      </c>
      <c r="N47" s="154" t="s">
        <v>12</v>
      </c>
    </row>
    <row r="48" spans="1:16" ht="21" customHeight="1" x14ac:dyDescent="0.2">
      <c r="A48" s="5"/>
      <c r="B48" s="83" t="s">
        <v>83</v>
      </c>
      <c r="C48" s="45">
        <f>D48</f>
        <v>1474400</v>
      </c>
      <c r="D48" s="84">
        <v>1474400</v>
      </c>
      <c r="E48" s="84"/>
      <c r="F48" s="103"/>
      <c r="G48" s="87"/>
      <c r="H48" s="87"/>
      <c r="I48" s="84">
        <v>0</v>
      </c>
      <c r="J48" s="84">
        <v>0</v>
      </c>
      <c r="K48" s="89">
        <f>156120+69120+440000+9960+4080</f>
        <v>679280</v>
      </c>
      <c r="L48" s="89">
        <f>D48-K48</f>
        <v>795120</v>
      </c>
      <c r="M48" s="89">
        <f>K48*100/D48</f>
        <v>46.07162235485621</v>
      </c>
      <c r="N48" s="90"/>
    </row>
    <row r="49" spans="1:16" ht="26.25" customHeight="1" x14ac:dyDescent="0.2">
      <c r="A49" s="5"/>
      <c r="B49" s="83" t="s">
        <v>262</v>
      </c>
      <c r="C49" s="45">
        <f>E49</f>
        <v>1946000</v>
      </c>
      <c r="D49" s="84"/>
      <c r="E49" s="84">
        <f>E50+E51+E52+E53</f>
        <v>1946000</v>
      </c>
      <c r="F49" s="103"/>
      <c r="G49" s="87"/>
      <c r="H49" s="87"/>
      <c r="I49" s="84">
        <f>I50+I51+I52+I53</f>
        <v>1896000</v>
      </c>
      <c r="J49" s="84">
        <f>J50+J51+J52+J53</f>
        <v>50000</v>
      </c>
      <c r="K49" s="89">
        <f>K50+K51+K52+K53</f>
        <v>1896000</v>
      </c>
      <c r="L49" s="89">
        <f>L50+L51+L52+L53</f>
        <v>0</v>
      </c>
      <c r="M49" s="89">
        <v>100</v>
      </c>
      <c r="N49" s="90"/>
    </row>
    <row r="50" spans="1:16" ht="51.75" x14ac:dyDescent="0.2">
      <c r="A50" s="5"/>
      <c r="B50" s="83" t="s">
        <v>263</v>
      </c>
      <c r="C50" s="45">
        <f>E50</f>
        <v>30000</v>
      </c>
      <c r="D50" s="84"/>
      <c r="E50" s="84">
        <v>30000</v>
      </c>
      <c r="F50" s="86" t="s">
        <v>400</v>
      </c>
      <c r="G50" s="87" t="s">
        <v>351</v>
      </c>
      <c r="H50" s="87" t="s">
        <v>352</v>
      </c>
      <c r="I50" s="84">
        <v>30000</v>
      </c>
      <c r="J50" s="84">
        <f>E50-I50</f>
        <v>0</v>
      </c>
      <c r="K50" s="89">
        <v>30000</v>
      </c>
      <c r="L50" s="89">
        <f>E50-K50</f>
        <v>0</v>
      </c>
      <c r="M50" s="89">
        <f t="shared" ref="M50:M51" si="18">K50*100/E50</f>
        <v>100</v>
      </c>
      <c r="N50" s="90" t="s">
        <v>12</v>
      </c>
    </row>
    <row r="51" spans="1:16" ht="72.75" customHeight="1" x14ac:dyDescent="0.2">
      <c r="A51" s="5"/>
      <c r="B51" s="83" t="s">
        <v>264</v>
      </c>
      <c r="C51" s="45">
        <f t="shared" ref="C51:C53" si="19">E51</f>
        <v>1680000</v>
      </c>
      <c r="D51" s="84"/>
      <c r="E51" s="84">
        <f>1700000-20000</f>
        <v>1680000</v>
      </c>
      <c r="F51" s="86" t="s">
        <v>400</v>
      </c>
      <c r="G51" s="87" t="s">
        <v>295</v>
      </c>
      <c r="H51" s="87" t="s">
        <v>353</v>
      </c>
      <c r="I51" s="84">
        <v>1680000</v>
      </c>
      <c r="J51" s="88">
        <f>E51-I51</f>
        <v>0</v>
      </c>
      <c r="K51" s="89">
        <v>1680000</v>
      </c>
      <c r="L51" s="89">
        <f>I51-K51</f>
        <v>0</v>
      </c>
      <c r="M51" s="89">
        <f t="shared" si="18"/>
        <v>100</v>
      </c>
      <c r="N51" s="90" t="s">
        <v>12</v>
      </c>
    </row>
    <row r="52" spans="1:16" ht="69" x14ac:dyDescent="0.2">
      <c r="A52" s="5"/>
      <c r="B52" s="83" t="s">
        <v>265</v>
      </c>
      <c r="C52" s="45">
        <f t="shared" si="19"/>
        <v>170000</v>
      </c>
      <c r="D52" s="84"/>
      <c r="E52" s="84">
        <f>120000+50000</f>
        <v>170000</v>
      </c>
      <c r="F52" s="86" t="s">
        <v>400</v>
      </c>
      <c r="G52" s="87" t="s">
        <v>357</v>
      </c>
      <c r="H52" s="87" t="s">
        <v>356</v>
      </c>
      <c r="I52" s="84">
        <v>120000</v>
      </c>
      <c r="J52" s="84">
        <v>50000</v>
      </c>
      <c r="K52" s="89">
        <v>120000</v>
      </c>
      <c r="L52" s="89">
        <v>0</v>
      </c>
      <c r="M52" s="89">
        <v>100</v>
      </c>
      <c r="N52" s="90" t="s">
        <v>266</v>
      </c>
      <c r="P52" s="1">
        <v>170000</v>
      </c>
    </row>
    <row r="53" spans="1:16" ht="34.5" x14ac:dyDescent="0.2">
      <c r="A53" s="5"/>
      <c r="B53" s="83" t="s">
        <v>267</v>
      </c>
      <c r="C53" s="45">
        <f t="shared" si="19"/>
        <v>66000</v>
      </c>
      <c r="D53" s="84"/>
      <c r="E53" s="84">
        <v>66000</v>
      </c>
      <c r="F53" s="86" t="s">
        <v>400</v>
      </c>
      <c r="G53" s="151" t="s">
        <v>358</v>
      </c>
      <c r="H53" s="87" t="s">
        <v>359</v>
      </c>
      <c r="I53" s="84">
        <v>66000</v>
      </c>
      <c r="J53" s="84">
        <f>E53-I53</f>
        <v>0</v>
      </c>
      <c r="K53" s="89">
        <v>66000</v>
      </c>
      <c r="L53" s="89">
        <f t="shared" ref="L53" si="20">E53-K53</f>
        <v>0</v>
      </c>
      <c r="M53" s="89">
        <v>100</v>
      </c>
      <c r="N53" s="90" t="s">
        <v>268</v>
      </c>
      <c r="P53" s="1">
        <v>66000</v>
      </c>
    </row>
    <row r="54" spans="1:16" ht="60" customHeight="1" x14ac:dyDescent="0.2">
      <c r="A54" s="5">
        <v>30</v>
      </c>
      <c r="B54" s="101" t="s">
        <v>303</v>
      </c>
      <c r="C54" s="73">
        <f t="shared" si="17"/>
        <v>1243000</v>
      </c>
      <c r="D54" s="155">
        <f>D55</f>
        <v>1160000</v>
      </c>
      <c r="E54" s="80">
        <f>E56</f>
        <v>83000</v>
      </c>
      <c r="F54" s="153" t="s">
        <v>197</v>
      </c>
      <c r="G54" s="165"/>
      <c r="H54" s="165"/>
      <c r="I54" s="74">
        <f>I55+I56</f>
        <v>83000</v>
      </c>
      <c r="J54" s="74">
        <f>J55+J56</f>
        <v>0</v>
      </c>
      <c r="K54" s="75">
        <f>K55+K56</f>
        <v>704674.77</v>
      </c>
      <c r="L54" s="75">
        <f>L55+L56</f>
        <v>538325.23</v>
      </c>
      <c r="M54" s="75">
        <f t="shared" si="13"/>
        <v>56.691453740949314</v>
      </c>
      <c r="N54" s="154" t="s">
        <v>12</v>
      </c>
    </row>
    <row r="55" spans="1:16" ht="25.5" customHeight="1" x14ac:dyDescent="0.2">
      <c r="A55" s="104"/>
      <c r="B55" s="150" t="s">
        <v>83</v>
      </c>
      <c r="C55" s="45">
        <f>D55</f>
        <v>1160000</v>
      </c>
      <c r="D55" s="91">
        <v>1160000</v>
      </c>
      <c r="E55" s="94"/>
      <c r="F55" s="86"/>
      <c r="G55" s="87"/>
      <c r="H55" s="87"/>
      <c r="I55" s="84"/>
      <c r="J55" s="84"/>
      <c r="K55" s="89">
        <f>63000+3249.45+63000+1500+3260.97+9000+9000+9000+9000+9000+9000+9000+3369+9225+1180+15750+30250+48000+18000+9000+9000+9000+9000+9000+9000+9000+2000+9000+9000+9000+9000+9000+9000+9000+9000+9000+9000+9000+9000+9000+9000+2000+3890.35+98000+4000</f>
        <v>621674.77</v>
      </c>
      <c r="L55" s="89">
        <f>D55-K55</f>
        <v>538325.23</v>
      </c>
      <c r="M55" s="89">
        <f>K55*100/D55</f>
        <v>53.592652586206896</v>
      </c>
      <c r="N55" s="90"/>
    </row>
    <row r="56" spans="1:16" ht="21.75" customHeight="1" x14ac:dyDescent="0.2">
      <c r="A56" s="104"/>
      <c r="B56" s="105" t="s">
        <v>82</v>
      </c>
      <c r="C56" s="45">
        <f>E56</f>
        <v>83000</v>
      </c>
      <c r="D56" s="91"/>
      <c r="E56" s="94">
        <f>E57</f>
        <v>83000</v>
      </c>
      <c r="F56" s="103"/>
      <c r="G56" s="87"/>
      <c r="H56" s="87"/>
      <c r="I56" s="84">
        <f>I57</f>
        <v>83000</v>
      </c>
      <c r="J56" s="84">
        <f>J57</f>
        <v>0</v>
      </c>
      <c r="K56" s="89">
        <f>K57</f>
        <v>83000</v>
      </c>
      <c r="L56" s="89">
        <f>I56-K56</f>
        <v>0</v>
      </c>
      <c r="M56" s="89">
        <f>K56*100/E56</f>
        <v>100</v>
      </c>
      <c r="N56" s="90"/>
    </row>
    <row r="57" spans="1:16" ht="69" customHeight="1" x14ac:dyDescent="0.2">
      <c r="A57" s="104"/>
      <c r="B57" s="105" t="s">
        <v>271</v>
      </c>
      <c r="C57" s="45">
        <f>E57</f>
        <v>83000</v>
      </c>
      <c r="D57" s="91"/>
      <c r="E57" s="94">
        <v>83000</v>
      </c>
      <c r="F57" s="86" t="s">
        <v>400</v>
      </c>
      <c r="G57" s="87" t="s">
        <v>355</v>
      </c>
      <c r="H57" s="87" t="s">
        <v>724</v>
      </c>
      <c r="I57" s="84">
        <v>83000</v>
      </c>
      <c r="J57" s="84">
        <f>E57-I57</f>
        <v>0</v>
      </c>
      <c r="K57" s="89">
        <v>83000</v>
      </c>
      <c r="L57" s="89">
        <f>E57-K57</f>
        <v>0</v>
      </c>
      <c r="M57" s="89">
        <f>K57*100/E57</f>
        <v>100</v>
      </c>
      <c r="N57" s="90" t="s">
        <v>272</v>
      </c>
      <c r="P57" s="1">
        <v>83000</v>
      </c>
    </row>
    <row r="58" spans="1:16" ht="23.25" customHeight="1" x14ac:dyDescent="0.2">
      <c r="A58" s="471" t="s">
        <v>210</v>
      </c>
      <c r="B58" s="471"/>
      <c r="C58" s="73">
        <f>D58+E58</f>
        <v>10316600</v>
      </c>
      <c r="D58" s="73">
        <f t="shared" ref="D58:E58" si="21">D59+D63+D68+D74</f>
        <v>7954600</v>
      </c>
      <c r="E58" s="73">
        <f t="shared" si="21"/>
        <v>2362000</v>
      </c>
      <c r="F58" s="26"/>
      <c r="G58" s="165"/>
      <c r="H58" s="165"/>
      <c r="I58" s="73">
        <f t="shared" ref="I58:J58" si="22">I59+I63+I68+I74</f>
        <v>2212000</v>
      </c>
      <c r="J58" s="73">
        <f t="shared" si="22"/>
        <v>64000</v>
      </c>
      <c r="K58" s="75">
        <f>K59+K63+K68+K74</f>
        <v>6488800</v>
      </c>
      <c r="L58" s="75">
        <f>L59+L63+L68+L74</f>
        <v>3763800</v>
      </c>
      <c r="M58" s="75">
        <f t="shared" si="13"/>
        <v>62.896690770214995</v>
      </c>
      <c r="N58" s="25"/>
    </row>
    <row r="59" spans="1:16" ht="35.25" customHeight="1" x14ac:dyDescent="0.35">
      <c r="A59" s="5">
        <v>31</v>
      </c>
      <c r="B59" s="93" t="s">
        <v>13</v>
      </c>
      <c r="C59" s="45">
        <f t="shared" si="17"/>
        <v>2000000</v>
      </c>
      <c r="D59" s="94">
        <f>D60</f>
        <v>1200000</v>
      </c>
      <c r="E59" s="94">
        <f>E61</f>
        <v>800000</v>
      </c>
      <c r="F59" s="103" t="s">
        <v>197</v>
      </c>
      <c r="G59" s="87"/>
      <c r="H59" s="87"/>
      <c r="I59" s="84">
        <f>I62</f>
        <v>750000</v>
      </c>
      <c r="J59" s="84">
        <f>J60+J62</f>
        <v>50000</v>
      </c>
      <c r="K59" s="106">
        <f>K60+K61</f>
        <v>577200</v>
      </c>
      <c r="L59" s="106">
        <f>L60+L61</f>
        <v>1372800</v>
      </c>
      <c r="M59" s="106">
        <f t="shared" si="13"/>
        <v>28.86</v>
      </c>
      <c r="N59" s="90" t="s">
        <v>14</v>
      </c>
    </row>
    <row r="60" spans="1:16" ht="24" customHeight="1" x14ac:dyDescent="0.35">
      <c r="A60" s="5"/>
      <c r="B60" s="93" t="s">
        <v>83</v>
      </c>
      <c r="C60" s="45">
        <f>D60</f>
        <v>1200000</v>
      </c>
      <c r="D60" s="94">
        <v>1200000</v>
      </c>
      <c r="E60" s="94"/>
      <c r="F60" s="103"/>
      <c r="G60" s="87"/>
      <c r="H60" s="87"/>
      <c r="I60" s="84"/>
      <c r="J60" s="84"/>
      <c r="K60" s="106">
        <f>178500+8700+90000+300000</f>
        <v>577200</v>
      </c>
      <c r="L60" s="106">
        <f>D60-K60</f>
        <v>622800</v>
      </c>
      <c r="M60" s="106">
        <f>K60*100/D60</f>
        <v>48.1</v>
      </c>
      <c r="N60" s="90"/>
    </row>
    <row r="61" spans="1:16" ht="24" customHeight="1" x14ac:dyDescent="0.35">
      <c r="A61" s="5"/>
      <c r="B61" s="93" t="s">
        <v>82</v>
      </c>
      <c r="C61" s="45"/>
      <c r="D61" s="94"/>
      <c r="E61" s="94">
        <f>E62</f>
        <v>800000</v>
      </c>
      <c r="F61" s="103"/>
      <c r="G61" s="87"/>
      <c r="H61" s="87"/>
      <c r="I61" s="84"/>
      <c r="J61" s="84"/>
      <c r="K61" s="106">
        <f>K62</f>
        <v>0</v>
      </c>
      <c r="L61" s="106">
        <f>L62</f>
        <v>750000</v>
      </c>
      <c r="M61" s="106">
        <v>0</v>
      </c>
      <c r="N61" s="90"/>
    </row>
    <row r="62" spans="1:16" ht="51.75" x14ac:dyDescent="0.35">
      <c r="A62" s="5"/>
      <c r="B62" s="93" t="s">
        <v>312</v>
      </c>
      <c r="C62" s="45">
        <f>E62</f>
        <v>800000</v>
      </c>
      <c r="D62" s="94"/>
      <c r="E62" s="94">
        <f>755600+44400</f>
        <v>800000</v>
      </c>
      <c r="F62" s="103" t="s">
        <v>360</v>
      </c>
      <c r="G62" s="87" t="s">
        <v>399</v>
      </c>
      <c r="H62" s="87" t="s">
        <v>723</v>
      </c>
      <c r="I62" s="84">
        <v>750000</v>
      </c>
      <c r="J62" s="84">
        <f>5600+44400</f>
        <v>50000</v>
      </c>
      <c r="K62" s="106">
        <v>0</v>
      </c>
      <c r="L62" s="106">
        <v>750000</v>
      </c>
      <c r="M62" s="107">
        <f>K62*100/I62</f>
        <v>0</v>
      </c>
      <c r="N62" s="90"/>
    </row>
    <row r="63" spans="1:16" ht="36.75" customHeight="1" x14ac:dyDescent="0.35">
      <c r="A63" s="5">
        <v>32</v>
      </c>
      <c r="B63" s="108" t="s">
        <v>15</v>
      </c>
      <c r="C63" s="45">
        <f t="shared" si="17"/>
        <v>2066000</v>
      </c>
      <c r="D63" s="94">
        <v>1590000</v>
      </c>
      <c r="E63" s="94">
        <f>E65</f>
        <v>476000</v>
      </c>
      <c r="F63" s="103" t="s">
        <v>197</v>
      </c>
      <c r="G63" s="87"/>
      <c r="H63" s="87"/>
      <c r="I63" s="84">
        <f>I65</f>
        <v>462000</v>
      </c>
      <c r="J63" s="84">
        <f>J65</f>
        <v>14000</v>
      </c>
      <c r="K63" s="106">
        <f>K64+K65</f>
        <v>1908900</v>
      </c>
      <c r="L63" s="106">
        <f>L64+L65</f>
        <v>143100</v>
      </c>
      <c r="M63" s="106">
        <f t="shared" ref="M63:M74" si="23">K63*100/C63</f>
        <v>92.395934172313645</v>
      </c>
      <c r="N63" s="90" t="s">
        <v>16</v>
      </c>
    </row>
    <row r="64" spans="1:16" ht="22.5" customHeight="1" x14ac:dyDescent="0.35">
      <c r="A64" s="5"/>
      <c r="B64" s="108" t="s">
        <v>310</v>
      </c>
      <c r="C64" s="45">
        <f>D64</f>
        <v>1590000</v>
      </c>
      <c r="D64" s="94">
        <v>1590000</v>
      </c>
      <c r="E64" s="94"/>
      <c r="F64" s="103"/>
      <c r="G64" s="87"/>
      <c r="H64" s="87"/>
      <c r="I64" s="84"/>
      <c r="J64" s="84"/>
      <c r="K64" s="106">
        <f>589400+28600+21000+210000+90000+300000+207900</f>
        <v>1446900</v>
      </c>
      <c r="L64" s="106">
        <f>D64-K64</f>
        <v>143100</v>
      </c>
      <c r="M64" s="106">
        <f>K64*100/D64</f>
        <v>91</v>
      </c>
      <c r="N64" s="90"/>
    </row>
    <row r="65" spans="1:15" ht="23.25" customHeight="1" x14ac:dyDescent="0.35">
      <c r="A65" s="5"/>
      <c r="B65" s="108" t="s">
        <v>262</v>
      </c>
      <c r="C65" s="45">
        <f>E65</f>
        <v>476000</v>
      </c>
      <c r="D65" s="94"/>
      <c r="E65" s="94">
        <f>E66+E67</f>
        <v>476000</v>
      </c>
      <c r="F65" s="86" t="s">
        <v>400</v>
      </c>
      <c r="G65" s="87"/>
      <c r="H65" s="87"/>
      <c r="I65" s="84">
        <f>I66+I67</f>
        <v>462000</v>
      </c>
      <c r="J65" s="84">
        <f>J66+J67</f>
        <v>14000</v>
      </c>
      <c r="K65" s="106">
        <f>K66+K67</f>
        <v>462000</v>
      </c>
      <c r="L65" s="106">
        <f>L66+L67</f>
        <v>0</v>
      </c>
      <c r="M65" s="106">
        <v>100</v>
      </c>
      <c r="N65" s="90"/>
    </row>
    <row r="66" spans="1:15" ht="39.75" customHeight="1" x14ac:dyDescent="0.35">
      <c r="A66" s="5"/>
      <c r="B66" s="83" t="s">
        <v>387</v>
      </c>
      <c r="C66" s="45">
        <f>E66</f>
        <v>238000</v>
      </c>
      <c r="D66" s="94"/>
      <c r="E66" s="94">
        <v>238000</v>
      </c>
      <c r="F66" s="103"/>
      <c r="G66" s="482" t="s">
        <v>370</v>
      </c>
      <c r="H66" s="87" t="s">
        <v>371</v>
      </c>
      <c r="I66" s="84">
        <v>224000</v>
      </c>
      <c r="J66" s="84">
        <f>E66-I66</f>
        <v>14000</v>
      </c>
      <c r="K66" s="106">
        <v>224000</v>
      </c>
      <c r="L66" s="106">
        <v>0</v>
      </c>
      <c r="M66" s="106">
        <v>100</v>
      </c>
      <c r="N66" s="90"/>
      <c r="O66" s="144"/>
    </row>
    <row r="67" spans="1:15" ht="33" customHeight="1" x14ac:dyDescent="0.35">
      <c r="A67" s="5"/>
      <c r="B67" s="83" t="s">
        <v>311</v>
      </c>
      <c r="C67" s="45">
        <f>E67</f>
        <v>238000</v>
      </c>
      <c r="D67" s="94"/>
      <c r="E67" s="94">
        <v>238000</v>
      </c>
      <c r="F67" s="103"/>
      <c r="G67" s="483"/>
      <c r="H67" s="87" t="s">
        <v>371</v>
      </c>
      <c r="I67" s="84">
        <v>238000</v>
      </c>
      <c r="J67" s="84">
        <f>E67-I67</f>
        <v>0</v>
      </c>
      <c r="K67" s="106">
        <v>238000</v>
      </c>
      <c r="L67" s="106">
        <v>0</v>
      </c>
      <c r="M67" s="106">
        <f>K67*100/E67</f>
        <v>100</v>
      </c>
      <c r="N67" s="90"/>
    </row>
    <row r="68" spans="1:15" ht="36" customHeight="1" x14ac:dyDescent="0.35">
      <c r="A68" s="5">
        <v>33</v>
      </c>
      <c r="B68" s="83" t="s">
        <v>17</v>
      </c>
      <c r="C68" s="45">
        <f t="shared" si="17"/>
        <v>1795600</v>
      </c>
      <c r="D68" s="85">
        <f>D69</f>
        <v>709600</v>
      </c>
      <c r="E68" s="94">
        <f>E70</f>
        <v>1086000</v>
      </c>
      <c r="F68" s="103" t="s">
        <v>197</v>
      </c>
      <c r="G68" s="87"/>
      <c r="H68" s="87"/>
      <c r="I68" s="84">
        <f>I70</f>
        <v>1000000</v>
      </c>
      <c r="J68" s="84">
        <f>J70</f>
        <v>0</v>
      </c>
      <c r="K68" s="106">
        <f>K69+K70</f>
        <v>1335200</v>
      </c>
      <c r="L68" s="106">
        <f t="shared" ref="L68:L74" si="24">C68-K68</f>
        <v>460400</v>
      </c>
      <c r="M68" s="106">
        <f t="shared" si="23"/>
        <v>74.359545555803081</v>
      </c>
      <c r="N68" s="90" t="s">
        <v>16</v>
      </c>
      <c r="O68" s="144"/>
    </row>
    <row r="69" spans="1:15" ht="24.75" customHeight="1" x14ac:dyDescent="0.35">
      <c r="A69" s="5"/>
      <c r="B69" s="83" t="s">
        <v>310</v>
      </c>
      <c r="C69" s="45">
        <f>D69</f>
        <v>709600</v>
      </c>
      <c r="D69" s="85">
        <v>709600</v>
      </c>
      <c r="E69" s="94"/>
      <c r="F69" s="103"/>
      <c r="G69" s="87"/>
      <c r="H69" s="87"/>
      <c r="I69" s="84"/>
      <c r="J69" s="84"/>
      <c r="K69" s="106">
        <f>8000+1600+40000+40000+40000+40000+40000+19800+19800</f>
        <v>249200</v>
      </c>
      <c r="L69" s="106">
        <f>D69-K69</f>
        <v>460400</v>
      </c>
      <c r="M69" s="106">
        <f>K69*100/D69</f>
        <v>35.11837655016911</v>
      </c>
      <c r="N69" s="90"/>
    </row>
    <row r="70" spans="1:15" ht="23.25" customHeight="1" x14ac:dyDescent="0.35">
      <c r="A70" s="5"/>
      <c r="B70" s="83" t="s">
        <v>309</v>
      </c>
      <c r="C70" s="45">
        <f>E70</f>
        <v>1086000</v>
      </c>
      <c r="D70" s="85"/>
      <c r="E70" s="94">
        <f>E71+E72+E73</f>
        <v>1086000</v>
      </c>
      <c r="F70" s="103"/>
      <c r="G70" s="87"/>
      <c r="H70" s="87"/>
      <c r="I70" s="84">
        <f>I71+I72+I73</f>
        <v>1000000</v>
      </c>
      <c r="J70" s="84">
        <f>J71+J72+J73</f>
        <v>0</v>
      </c>
      <c r="K70" s="84">
        <f>K71+K72+K73</f>
        <v>1086000</v>
      </c>
      <c r="L70" s="89">
        <f>L71+L72+L73</f>
        <v>0</v>
      </c>
      <c r="M70" s="106">
        <f>K70*100/E70</f>
        <v>100</v>
      </c>
      <c r="N70" s="90"/>
    </row>
    <row r="71" spans="1:15" ht="40.5" customHeight="1" x14ac:dyDescent="0.35">
      <c r="A71" s="5"/>
      <c r="B71" s="83" t="s">
        <v>306</v>
      </c>
      <c r="C71" s="45">
        <f>E71</f>
        <v>500000</v>
      </c>
      <c r="D71" s="85"/>
      <c r="E71" s="94">
        <v>500000</v>
      </c>
      <c r="F71" s="103" t="s">
        <v>400</v>
      </c>
      <c r="G71" s="87" t="s">
        <v>372</v>
      </c>
      <c r="H71" s="87" t="s">
        <v>722</v>
      </c>
      <c r="I71" s="84">
        <v>500000</v>
      </c>
      <c r="J71" s="84">
        <v>0</v>
      </c>
      <c r="K71" s="106">
        <v>500000</v>
      </c>
      <c r="L71" s="106">
        <f>E71-K71</f>
        <v>0</v>
      </c>
      <c r="M71" s="106">
        <f>K71*100/E71</f>
        <v>100</v>
      </c>
      <c r="N71" s="90"/>
    </row>
    <row r="72" spans="1:15" ht="51.75" x14ac:dyDescent="0.35">
      <c r="A72" s="5"/>
      <c r="B72" s="83" t="s">
        <v>307</v>
      </c>
      <c r="C72" s="45">
        <f>E72</f>
        <v>86000</v>
      </c>
      <c r="D72" s="85"/>
      <c r="E72" s="94">
        <v>86000</v>
      </c>
      <c r="F72" s="103" t="s">
        <v>400</v>
      </c>
      <c r="G72" s="87" t="s">
        <v>373</v>
      </c>
      <c r="H72" s="87"/>
      <c r="I72" s="84"/>
      <c r="J72" s="84">
        <v>0</v>
      </c>
      <c r="K72" s="106">
        <v>86000</v>
      </c>
      <c r="L72" s="106">
        <f t="shared" ref="L72:L73" si="25">E72-K72</f>
        <v>0</v>
      </c>
      <c r="M72" s="106">
        <v>100</v>
      </c>
      <c r="N72" s="90"/>
    </row>
    <row r="73" spans="1:15" ht="37.5" x14ac:dyDescent="0.35">
      <c r="A73" s="5"/>
      <c r="B73" s="83" t="s">
        <v>308</v>
      </c>
      <c r="C73" s="45">
        <f>E73</f>
        <v>500000</v>
      </c>
      <c r="D73" s="85"/>
      <c r="E73" s="94">
        <v>500000</v>
      </c>
      <c r="F73" s="103" t="s">
        <v>400</v>
      </c>
      <c r="G73" s="87" t="s">
        <v>374</v>
      </c>
      <c r="H73" s="87" t="s">
        <v>722</v>
      </c>
      <c r="I73" s="84">
        <v>500000</v>
      </c>
      <c r="J73" s="84">
        <v>0</v>
      </c>
      <c r="K73" s="106">
        <v>500000</v>
      </c>
      <c r="L73" s="106">
        <f t="shared" si="25"/>
        <v>0</v>
      </c>
      <c r="M73" s="106">
        <v>100</v>
      </c>
      <c r="N73" s="90"/>
    </row>
    <row r="74" spans="1:15" ht="36.75" customHeight="1" x14ac:dyDescent="0.35">
      <c r="A74" s="5">
        <v>34</v>
      </c>
      <c r="B74" s="83" t="s">
        <v>18</v>
      </c>
      <c r="C74" s="45">
        <f t="shared" si="17"/>
        <v>4455000</v>
      </c>
      <c r="D74" s="91">
        <v>4455000</v>
      </c>
      <c r="E74" s="94">
        <v>0</v>
      </c>
      <c r="F74" s="103" t="s">
        <v>197</v>
      </c>
      <c r="G74" s="87"/>
      <c r="H74" s="87"/>
      <c r="I74" s="84"/>
      <c r="J74" s="84"/>
      <c r="K74" s="106">
        <f>40600+15400+31000+39000+9800+33200+212100+52200+46400+17600+46400+80000+17600+150000+200000+52200+52200+400000+90000+19800+19800+82250+7750+52200+450000+450000</f>
        <v>2667500</v>
      </c>
      <c r="L74" s="106">
        <f t="shared" si="24"/>
        <v>1787500</v>
      </c>
      <c r="M74" s="106">
        <f t="shared" si="23"/>
        <v>59.876543209876544</v>
      </c>
      <c r="N74" s="90" t="s">
        <v>16</v>
      </c>
    </row>
    <row r="75" spans="1:15" ht="21" x14ac:dyDescent="0.2">
      <c r="A75" s="469" t="s">
        <v>211</v>
      </c>
      <c r="B75" s="469"/>
      <c r="C75" s="73">
        <f>D75</f>
        <v>900000</v>
      </c>
      <c r="D75" s="73">
        <f t="shared" ref="D75:E75" si="26">D76+D77+D78</f>
        <v>900000</v>
      </c>
      <c r="E75" s="73">
        <f t="shared" si="26"/>
        <v>0</v>
      </c>
      <c r="F75" s="26"/>
      <c r="G75" s="165"/>
      <c r="H75" s="165"/>
      <c r="I75" s="73">
        <f t="shared" ref="I75:J75" si="27">I76+I77+I78</f>
        <v>0</v>
      </c>
      <c r="J75" s="73">
        <f t="shared" si="27"/>
        <v>0</v>
      </c>
      <c r="K75" s="75">
        <f>K76+K77+K78</f>
        <v>556900</v>
      </c>
      <c r="L75" s="75">
        <f>L76+L77+L78</f>
        <v>343100</v>
      </c>
      <c r="M75" s="75">
        <f>K75*100/C75</f>
        <v>61.87777777777778</v>
      </c>
      <c r="N75" s="100"/>
    </row>
    <row r="76" spans="1:15" ht="36" customHeight="1" x14ac:dyDescent="0.2">
      <c r="A76" s="5">
        <v>35</v>
      </c>
      <c r="B76" s="109" t="s">
        <v>19</v>
      </c>
      <c r="C76" s="45">
        <f t="shared" si="17"/>
        <v>300000</v>
      </c>
      <c r="D76" s="110">
        <v>300000</v>
      </c>
      <c r="E76" s="94">
        <v>0</v>
      </c>
      <c r="F76" s="103" t="s">
        <v>197</v>
      </c>
      <c r="G76" s="87"/>
      <c r="H76" s="87"/>
      <c r="I76" s="84"/>
      <c r="J76" s="84"/>
      <c r="K76" s="89">
        <f>94800+700+40000+3000+1200</f>
        <v>139700</v>
      </c>
      <c r="L76" s="89">
        <f>C76-K76</f>
        <v>160300</v>
      </c>
      <c r="M76" s="89">
        <f>K76*100/C76</f>
        <v>46.56666666666667</v>
      </c>
      <c r="N76" s="111" t="s">
        <v>20</v>
      </c>
    </row>
    <row r="77" spans="1:15" ht="37.5" customHeight="1" x14ac:dyDescent="0.2">
      <c r="A77" s="5">
        <v>36</v>
      </c>
      <c r="B77" s="109" t="s">
        <v>21</v>
      </c>
      <c r="C77" s="45">
        <f t="shared" si="17"/>
        <v>300000</v>
      </c>
      <c r="D77" s="110">
        <v>300000</v>
      </c>
      <c r="E77" s="94">
        <v>0</v>
      </c>
      <c r="F77" s="103" t="s">
        <v>197</v>
      </c>
      <c r="G77" s="87"/>
      <c r="H77" s="87"/>
      <c r="I77" s="84"/>
      <c r="J77" s="84"/>
      <c r="K77" s="89">
        <f>94100+600+4500+97700+4500+40000+40000</f>
        <v>281400</v>
      </c>
      <c r="L77" s="89">
        <f t="shared" ref="L77:L78" si="28">C77-K77</f>
        <v>18600</v>
      </c>
      <c r="M77" s="89">
        <f t="shared" ref="M77:M78" si="29">K77*100/C77</f>
        <v>93.8</v>
      </c>
      <c r="N77" s="111" t="s">
        <v>20</v>
      </c>
    </row>
    <row r="78" spans="1:15" ht="35.25" customHeight="1" x14ac:dyDescent="0.2">
      <c r="A78" s="5">
        <v>37</v>
      </c>
      <c r="B78" s="109" t="s">
        <v>22</v>
      </c>
      <c r="C78" s="45">
        <f t="shared" si="17"/>
        <v>300000</v>
      </c>
      <c r="D78" s="110">
        <v>300000</v>
      </c>
      <c r="E78" s="94">
        <v>0</v>
      </c>
      <c r="F78" s="103" t="s">
        <v>197</v>
      </c>
      <c r="G78" s="87"/>
      <c r="H78" s="87"/>
      <c r="I78" s="84"/>
      <c r="J78" s="84"/>
      <c r="K78" s="89">
        <f>59700+20000+56100</f>
        <v>135800</v>
      </c>
      <c r="L78" s="89">
        <f t="shared" si="28"/>
        <v>164200</v>
      </c>
      <c r="M78" s="89">
        <f t="shared" si="29"/>
        <v>45.266666666666666</v>
      </c>
      <c r="N78" s="111" t="s">
        <v>20</v>
      </c>
    </row>
    <row r="79" spans="1:15" ht="21" customHeight="1" x14ac:dyDescent="0.2">
      <c r="A79" s="467" t="s">
        <v>212</v>
      </c>
      <c r="B79" s="468"/>
      <c r="C79" s="73">
        <f>D79</f>
        <v>6325500</v>
      </c>
      <c r="D79" s="73">
        <f>D80+D82</f>
        <v>6325500</v>
      </c>
      <c r="E79" s="112">
        <v>0</v>
      </c>
      <c r="F79" s="113"/>
      <c r="G79" s="165"/>
      <c r="H79" s="165"/>
      <c r="I79" s="73">
        <f>I80+I82</f>
        <v>0</v>
      </c>
      <c r="J79" s="73">
        <f>J80+J82</f>
        <v>0</v>
      </c>
      <c r="K79" s="75">
        <f>K80+K82</f>
        <v>2840040</v>
      </c>
      <c r="L79" s="75">
        <f>L80+L82</f>
        <v>3485460</v>
      </c>
      <c r="M79" s="75">
        <f>K79*100/C79</f>
        <v>44.898268911548492</v>
      </c>
      <c r="N79" s="100"/>
    </row>
    <row r="80" spans="1:15" ht="21" x14ac:dyDescent="0.2">
      <c r="A80" s="470" t="s">
        <v>213</v>
      </c>
      <c r="B80" s="468"/>
      <c r="C80" s="73">
        <f>C81</f>
        <v>1000000</v>
      </c>
      <c r="D80" s="73">
        <f>D81</f>
        <v>1000000</v>
      </c>
      <c r="E80" s="74">
        <v>0</v>
      </c>
      <c r="F80" s="17"/>
      <c r="G80" s="165"/>
      <c r="H80" s="165"/>
      <c r="I80" s="73">
        <f>I81</f>
        <v>0</v>
      </c>
      <c r="J80" s="73">
        <f>J81</f>
        <v>0</v>
      </c>
      <c r="K80" s="75">
        <f>K81</f>
        <v>944800</v>
      </c>
      <c r="L80" s="75">
        <f>L81</f>
        <v>55200</v>
      </c>
      <c r="M80" s="75">
        <f>K80*100/C80</f>
        <v>94.48</v>
      </c>
      <c r="N80" s="114"/>
    </row>
    <row r="81" spans="1:14" ht="39" customHeight="1" x14ac:dyDescent="0.2">
      <c r="A81" s="5">
        <v>38</v>
      </c>
      <c r="B81" s="93" t="s">
        <v>23</v>
      </c>
      <c r="C81" s="45">
        <f t="shared" si="17"/>
        <v>1000000</v>
      </c>
      <c r="D81" s="85">
        <v>1000000</v>
      </c>
      <c r="E81" s="84">
        <v>0</v>
      </c>
      <c r="F81" s="86" t="s">
        <v>261</v>
      </c>
      <c r="G81" s="87"/>
      <c r="H81" s="87"/>
      <c r="I81" s="84"/>
      <c r="J81" s="84"/>
      <c r="K81" s="89">
        <f>184200+184200+184200+42000+10000+10000+42000+184200+42000+42000+10000+10000</f>
        <v>944800</v>
      </c>
      <c r="L81" s="89">
        <f>C81-K81</f>
        <v>55200</v>
      </c>
      <c r="M81" s="89">
        <f>K81*100/C81</f>
        <v>94.48</v>
      </c>
      <c r="N81" s="90" t="s">
        <v>24</v>
      </c>
    </row>
    <row r="82" spans="1:14" ht="40.5" customHeight="1" x14ac:dyDescent="0.2">
      <c r="A82" s="469" t="s">
        <v>214</v>
      </c>
      <c r="B82" s="469"/>
      <c r="C82" s="73">
        <f>D82</f>
        <v>5325500</v>
      </c>
      <c r="D82" s="73">
        <f>D83+D84+D85+D86+D87+D88+D89+D90+D91+D92+D93+D94+D95</f>
        <v>5325500</v>
      </c>
      <c r="E82" s="80">
        <v>0</v>
      </c>
      <c r="F82" s="115" t="s">
        <v>261</v>
      </c>
      <c r="G82" s="165"/>
      <c r="H82" s="165"/>
      <c r="I82" s="73">
        <f>I83+I84+I85+I86+I87+I88+I89+I90+I91+I92+I93+I94+I95</f>
        <v>0</v>
      </c>
      <c r="J82" s="73">
        <f>J83+J84+J85+J86+J87+J88+J89+J90+J91+J92+J93+J94+J95</f>
        <v>0</v>
      </c>
      <c r="K82" s="75">
        <f>K83+K84+K85+K86+K87+K88+K89+K90+K91+K92+K93+K94+K95</f>
        <v>1895240</v>
      </c>
      <c r="L82" s="75">
        <f>L83+L84+L85+L86+L87+L88+L89+L90+L91+L92+L93+L94+L95</f>
        <v>3430260</v>
      </c>
      <c r="M82" s="75">
        <f>K82*100/C82</f>
        <v>35.588019904234343</v>
      </c>
      <c r="N82" s="114"/>
    </row>
    <row r="83" spans="1:14" ht="20.25" customHeight="1" x14ac:dyDescent="0.2">
      <c r="A83" s="5">
        <v>39</v>
      </c>
      <c r="B83" s="93" t="s">
        <v>131</v>
      </c>
      <c r="C83" s="45">
        <f>D83</f>
        <v>500000</v>
      </c>
      <c r="D83" s="85">
        <v>500000</v>
      </c>
      <c r="E83" s="94">
        <v>0</v>
      </c>
      <c r="F83" s="103"/>
      <c r="G83" s="87"/>
      <c r="H83" s="87"/>
      <c r="I83" s="84"/>
      <c r="J83" s="84"/>
      <c r="K83" s="89">
        <f>23880+94960+62880+13500+107500+18000</f>
        <v>320720</v>
      </c>
      <c r="L83" s="89">
        <f>D83-K83</f>
        <v>179280</v>
      </c>
      <c r="M83" s="89">
        <f>K83*100/D83</f>
        <v>64.144000000000005</v>
      </c>
      <c r="N83" s="90" t="s">
        <v>25</v>
      </c>
    </row>
    <row r="84" spans="1:14" ht="19.5" customHeight="1" x14ac:dyDescent="0.2">
      <c r="A84" s="5">
        <v>40</v>
      </c>
      <c r="B84" s="93" t="s">
        <v>126</v>
      </c>
      <c r="C84" s="45">
        <f t="shared" ref="C84:C95" si="30">D84</f>
        <v>490000</v>
      </c>
      <c r="D84" s="85">
        <v>490000</v>
      </c>
      <c r="E84" s="94">
        <v>0</v>
      </c>
      <c r="F84" s="103"/>
      <c r="G84" s="87"/>
      <c r="H84" s="87"/>
      <c r="I84" s="84"/>
      <c r="J84" s="84"/>
      <c r="K84" s="89">
        <v>10000</v>
      </c>
      <c r="L84" s="89">
        <f t="shared" ref="L84:L95" si="31">D84-K84</f>
        <v>480000</v>
      </c>
      <c r="M84" s="89">
        <f t="shared" ref="M84:M95" si="32">K84*100/D84</f>
        <v>2.0408163265306123</v>
      </c>
      <c r="N84" s="90" t="s">
        <v>25</v>
      </c>
    </row>
    <row r="85" spans="1:14" ht="22.5" customHeight="1" x14ac:dyDescent="0.2">
      <c r="A85" s="5">
        <v>41</v>
      </c>
      <c r="B85" s="93" t="s">
        <v>127</v>
      </c>
      <c r="C85" s="45">
        <f t="shared" si="30"/>
        <v>60000</v>
      </c>
      <c r="D85" s="85">
        <v>60000</v>
      </c>
      <c r="E85" s="84">
        <v>0</v>
      </c>
      <c r="F85" s="103"/>
      <c r="G85" s="87"/>
      <c r="H85" s="87"/>
      <c r="I85" s="84"/>
      <c r="J85" s="84"/>
      <c r="K85" s="89">
        <f>22400+25000+12600</f>
        <v>60000</v>
      </c>
      <c r="L85" s="89">
        <f t="shared" si="31"/>
        <v>0</v>
      </c>
      <c r="M85" s="89">
        <f t="shared" si="32"/>
        <v>100</v>
      </c>
      <c r="N85" s="90" t="s">
        <v>25</v>
      </c>
    </row>
    <row r="86" spans="1:14" ht="21" x14ac:dyDescent="0.2">
      <c r="A86" s="5">
        <v>42</v>
      </c>
      <c r="B86" s="93" t="s">
        <v>337</v>
      </c>
      <c r="C86" s="45">
        <f t="shared" si="30"/>
        <v>60000</v>
      </c>
      <c r="D86" s="85">
        <v>60000</v>
      </c>
      <c r="E86" s="94">
        <v>0</v>
      </c>
      <c r="F86" s="103"/>
      <c r="G86" s="87"/>
      <c r="H86" s="87"/>
      <c r="I86" s="84"/>
      <c r="J86" s="84"/>
      <c r="K86" s="89">
        <f>7800+52200</f>
        <v>60000</v>
      </c>
      <c r="L86" s="89">
        <f t="shared" si="31"/>
        <v>0</v>
      </c>
      <c r="M86" s="89">
        <f t="shared" si="32"/>
        <v>100</v>
      </c>
      <c r="N86" s="90" t="s">
        <v>25</v>
      </c>
    </row>
    <row r="87" spans="1:14" ht="22.5" customHeight="1" x14ac:dyDescent="0.2">
      <c r="A87" s="5">
        <v>43</v>
      </c>
      <c r="B87" s="93" t="s">
        <v>128</v>
      </c>
      <c r="C87" s="45">
        <f t="shared" si="30"/>
        <v>60000</v>
      </c>
      <c r="D87" s="85">
        <v>60000</v>
      </c>
      <c r="E87" s="94">
        <v>0</v>
      </c>
      <c r="F87" s="103"/>
      <c r="G87" s="87"/>
      <c r="H87" s="87"/>
      <c r="I87" s="84"/>
      <c r="J87" s="84"/>
      <c r="K87" s="89">
        <f>29000+31000</f>
        <v>60000</v>
      </c>
      <c r="L87" s="89">
        <f t="shared" si="31"/>
        <v>0</v>
      </c>
      <c r="M87" s="89">
        <f t="shared" si="32"/>
        <v>100</v>
      </c>
      <c r="N87" s="90" t="s">
        <v>25</v>
      </c>
    </row>
    <row r="88" spans="1:14" ht="21.75" customHeight="1" x14ac:dyDescent="0.2">
      <c r="A88" s="5">
        <v>44</v>
      </c>
      <c r="B88" s="93" t="s">
        <v>129</v>
      </c>
      <c r="C88" s="45">
        <f t="shared" si="30"/>
        <v>60000</v>
      </c>
      <c r="D88" s="85">
        <v>60000</v>
      </c>
      <c r="E88" s="94">
        <v>0</v>
      </c>
      <c r="F88" s="103"/>
      <c r="G88" s="87"/>
      <c r="H88" s="87"/>
      <c r="I88" s="84"/>
      <c r="J88" s="84"/>
      <c r="K88" s="89">
        <v>0</v>
      </c>
      <c r="L88" s="89">
        <f t="shared" si="31"/>
        <v>60000</v>
      </c>
      <c r="M88" s="84">
        <f t="shared" si="32"/>
        <v>0</v>
      </c>
      <c r="N88" s="90" t="s">
        <v>25</v>
      </c>
    </row>
    <row r="89" spans="1:14" ht="21" customHeight="1" x14ac:dyDescent="0.2">
      <c r="A89" s="5">
        <v>45</v>
      </c>
      <c r="B89" s="93" t="s">
        <v>130</v>
      </c>
      <c r="C89" s="45">
        <f t="shared" si="30"/>
        <v>60000</v>
      </c>
      <c r="D89" s="85">
        <v>60000</v>
      </c>
      <c r="E89" s="84">
        <v>0</v>
      </c>
      <c r="F89" s="103"/>
      <c r="G89" s="87"/>
      <c r="H89" s="87"/>
      <c r="I89" s="84"/>
      <c r="J89" s="84"/>
      <c r="K89" s="89">
        <f>3300+21850+21750+1800+11250</f>
        <v>59950</v>
      </c>
      <c r="L89" s="89">
        <f t="shared" si="31"/>
        <v>50</v>
      </c>
      <c r="M89" s="89">
        <f t="shared" si="32"/>
        <v>99.916666666666671</v>
      </c>
      <c r="N89" s="90" t="s">
        <v>25</v>
      </c>
    </row>
    <row r="90" spans="1:14" ht="39.75" customHeight="1" x14ac:dyDescent="0.2">
      <c r="A90" s="5">
        <v>46</v>
      </c>
      <c r="B90" s="93" t="s">
        <v>26</v>
      </c>
      <c r="C90" s="45">
        <f t="shared" si="30"/>
        <v>252000</v>
      </c>
      <c r="D90" s="85">
        <v>252000</v>
      </c>
      <c r="E90" s="94">
        <v>0</v>
      </c>
      <c r="F90" s="103"/>
      <c r="G90" s="87"/>
      <c r="H90" s="87"/>
      <c r="I90" s="84"/>
      <c r="J90" s="84"/>
      <c r="K90" s="89">
        <v>0</v>
      </c>
      <c r="L90" s="89">
        <f t="shared" si="31"/>
        <v>252000</v>
      </c>
      <c r="M90" s="84">
        <f t="shared" si="32"/>
        <v>0</v>
      </c>
      <c r="N90" s="90" t="s">
        <v>25</v>
      </c>
    </row>
    <row r="91" spans="1:14" ht="22.5" customHeight="1" x14ac:dyDescent="0.2">
      <c r="A91" s="5">
        <v>47</v>
      </c>
      <c r="B91" s="93" t="s">
        <v>378</v>
      </c>
      <c r="C91" s="45">
        <f t="shared" si="30"/>
        <v>252000</v>
      </c>
      <c r="D91" s="85">
        <v>252000</v>
      </c>
      <c r="E91" s="94">
        <v>0</v>
      </c>
      <c r="F91" s="103"/>
      <c r="G91" s="87"/>
      <c r="H91" s="87"/>
      <c r="I91" s="84"/>
      <c r="J91" s="84"/>
      <c r="K91" s="89">
        <f>11000+36000+10000+9000+36000+6000</f>
        <v>108000</v>
      </c>
      <c r="L91" s="89">
        <f t="shared" si="31"/>
        <v>144000</v>
      </c>
      <c r="M91" s="89">
        <f t="shared" si="32"/>
        <v>42.857142857142854</v>
      </c>
      <c r="N91" s="90" t="s">
        <v>25</v>
      </c>
    </row>
    <row r="92" spans="1:14" ht="21.75" customHeight="1" x14ac:dyDescent="0.2">
      <c r="A92" s="5">
        <v>48</v>
      </c>
      <c r="B92" s="83" t="s">
        <v>27</v>
      </c>
      <c r="C92" s="45">
        <f t="shared" si="30"/>
        <v>300000</v>
      </c>
      <c r="D92" s="85">
        <v>300000</v>
      </c>
      <c r="E92" s="94">
        <v>0</v>
      </c>
      <c r="F92" s="103"/>
      <c r="G92" s="87"/>
      <c r="H92" s="87"/>
      <c r="I92" s="84"/>
      <c r="J92" s="84"/>
      <c r="K92" s="89">
        <f>255400+44600-2930</f>
        <v>297070</v>
      </c>
      <c r="L92" s="89">
        <f t="shared" si="31"/>
        <v>2930</v>
      </c>
      <c r="M92" s="89">
        <f t="shared" si="32"/>
        <v>99.023333333333326</v>
      </c>
      <c r="N92" s="90" t="s">
        <v>25</v>
      </c>
    </row>
    <row r="93" spans="1:14" ht="39" customHeight="1" x14ac:dyDescent="0.2">
      <c r="A93" s="5">
        <v>49</v>
      </c>
      <c r="B93" s="83" t="s">
        <v>277</v>
      </c>
      <c r="C93" s="45">
        <f t="shared" si="30"/>
        <v>231500</v>
      </c>
      <c r="D93" s="85">
        <v>231500</v>
      </c>
      <c r="E93" s="94">
        <v>0</v>
      </c>
      <c r="F93" s="103"/>
      <c r="G93" s="87"/>
      <c r="H93" s="87"/>
      <c r="I93" s="84"/>
      <c r="J93" s="84"/>
      <c r="K93" s="89">
        <f>169900+61600</f>
        <v>231500</v>
      </c>
      <c r="L93" s="89">
        <f t="shared" si="31"/>
        <v>0</v>
      </c>
      <c r="M93" s="89">
        <f t="shared" si="32"/>
        <v>100</v>
      </c>
      <c r="N93" s="90" t="s">
        <v>278</v>
      </c>
    </row>
    <row r="94" spans="1:14" ht="25.5" customHeight="1" x14ac:dyDescent="0.2">
      <c r="A94" s="5">
        <v>50</v>
      </c>
      <c r="B94" s="83" t="s">
        <v>377</v>
      </c>
      <c r="C94" s="45">
        <f t="shared" si="30"/>
        <v>1500000</v>
      </c>
      <c r="D94" s="85">
        <v>1500000</v>
      </c>
      <c r="E94" s="94">
        <v>0</v>
      </c>
      <c r="F94" s="103"/>
      <c r="G94" s="87"/>
      <c r="H94" s="87"/>
      <c r="I94" s="84"/>
      <c r="J94" s="84"/>
      <c r="K94" s="89">
        <f>27500+32500+11000+216000+287000+95000+8000+11000</f>
        <v>688000</v>
      </c>
      <c r="L94" s="89">
        <f t="shared" si="31"/>
        <v>812000</v>
      </c>
      <c r="M94" s="89">
        <f t="shared" si="32"/>
        <v>45.866666666666667</v>
      </c>
      <c r="N94" s="90" t="s">
        <v>25</v>
      </c>
    </row>
    <row r="95" spans="1:14" ht="21" customHeight="1" x14ac:dyDescent="0.2">
      <c r="A95" s="5">
        <v>51</v>
      </c>
      <c r="B95" s="83" t="s">
        <v>28</v>
      </c>
      <c r="C95" s="45">
        <f t="shared" si="30"/>
        <v>1500000</v>
      </c>
      <c r="D95" s="85">
        <v>1500000</v>
      </c>
      <c r="E95" s="94">
        <v>0</v>
      </c>
      <c r="F95" s="103"/>
      <c r="G95" s="87"/>
      <c r="H95" s="87"/>
      <c r="I95" s="84"/>
      <c r="J95" s="84"/>
      <c r="K95" s="89">
        <v>0</v>
      </c>
      <c r="L95" s="89">
        <f t="shared" si="31"/>
        <v>1500000</v>
      </c>
      <c r="M95" s="84">
        <f t="shared" si="32"/>
        <v>0</v>
      </c>
      <c r="N95" s="116" t="s">
        <v>29</v>
      </c>
    </row>
    <row r="96" spans="1:14" ht="18.75" customHeight="1" x14ac:dyDescent="0.2">
      <c r="A96" s="467" t="s">
        <v>215</v>
      </c>
      <c r="B96" s="468"/>
      <c r="C96" s="189">
        <f>E96</f>
        <v>40164900</v>
      </c>
      <c r="D96" s="73">
        <f t="shared" ref="D96:E96" si="33">D97+D103</f>
        <v>0</v>
      </c>
      <c r="E96" s="73">
        <f t="shared" si="33"/>
        <v>40164900</v>
      </c>
      <c r="F96" s="26"/>
      <c r="G96" s="165"/>
      <c r="H96" s="165"/>
      <c r="I96" s="139">
        <f t="shared" ref="I96:J96" si="34">I97+I103</f>
        <v>40163316.700000003</v>
      </c>
      <c r="J96" s="139">
        <f t="shared" si="34"/>
        <v>1583.3000000007451</v>
      </c>
      <c r="K96" s="75">
        <f>K97+K103</f>
        <v>29984316.699999999</v>
      </c>
      <c r="L96" s="75">
        <f>L97+L103</f>
        <v>10179000</v>
      </c>
      <c r="M96" s="75">
        <f>K96*100/E96</f>
        <v>74.65303461480049</v>
      </c>
      <c r="N96" s="90"/>
    </row>
    <row r="97" spans="1:14" ht="22.5" customHeight="1" x14ac:dyDescent="0.2">
      <c r="A97" s="470" t="s">
        <v>216</v>
      </c>
      <c r="B97" s="468"/>
      <c r="C97" s="189">
        <f>E97</f>
        <v>29985900</v>
      </c>
      <c r="D97" s="73">
        <f t="shared" ref="D97:E97" si="35">D98+D99+D100+D101+D102</f>
        <v>0</v>
      </c>
      <c r="E97" s="73">
        <f t="shared" si="35"/>
        <v>29985900</v>
      </c>
      <c r="F97" s="26"/>
      <c r="G97" s="165"/>
      <c r="H97" s="165"/>
      <c r="I97" s="139">
        <f t="shared" ref="I97:J97" si="36">I98+I99+I100+I101+I102</f>
        <v>29984316.699999999</v>
      </c>
      <c r="J97" s="139">
        <f t="shared" si="36"/>
        <v>1583.3000000007451</v>
      </c>
      <c r="K97" s="75">
        <f>K98+K99+K100+K101+K102</f>
        <v>29984316.699999999</v>
      </c>
      <c r="L97" s="75">
        <f>L98+L99+L100+L101+L102</f>
        <v>0</v>
      </c>
      <c r="M97" s="75">
        <v>100</v>
      </c>
      <c r="N97" s="100"/>
    </row>
    <row r="98" spans="1:14" ht="54.75" customHeight="1" x14ac:dyDescent="0.2">
      <c r="A98" s="5">
        <v>52</v>
      </c>
      <c r="B98" s="83" t="s">
        <v>30</v>
      </c>
      <c r="C98" s="45">
        <f>E98</f>
        <v>5990880</v>
      </c>
      <c r="D98" s="91">
        <v>0</v>
      </c>
      <c r="E98" s="91">
        <f>6000000-9120</f>
        <v>5990880</v>
      </c>
      <c r="F98" s="103" t="s">
        <v>400</v>
      </c>
      <c r="G98" s="86" t="s">
        <v>296</v>
      </c>
      <c r="H98" s="87" t="s">
        <v>721</v>
      </c>
      <c r="I98" s="84">
        <v>5990880</v>
      </c>
      <c r="J98" s="88">
        <f>E98-I98</f>
        <v>0</v>
      </c>
      <c r="K98" s="89">
        <v>5990880</v>
      </c>
      <c r="L98" s="89">
        <v>0</v>
      </c>
      <c r="M98" s="89">
        <f>K98*100/E98</f>
        <v>100</v>
      </c>
      <c r="N98" s="117" t="s">
        <v>31</v>
      </c>
    </row>
    <row r="99" spans="1:14" ht="53.25" customHeight="1" x14ac:dyDescent="0.2">
      <c r="A99" s="5">
        <v>53</v>
      </c>
      <c r="B99" s="83" t="s">
        <v>32</v>
      </c>
      <c r="C99" s="45">
        <f t="shared" ref="C99:C102" si="37">E99</f>
        <v>9996620</v>
      </c>
      <c r="D99" s="84">
        <v>0</v>
      </c>
      <c r="E99" s="91">
        <f>10000000-3380</f>
        <v>9996620</v>
      </c>
      <c r="F99" s="103" t="s">
        <v>400</v>
      </c>
      <c r="G99" s="86" t="s">
        <v>296</v>
      </c>
      <c r="H99" s="87" t="s">
        <v>721</v>
      </c>
      <c r="I99" s="89">
        <v>9995036.6999999993</v>
      </c>
      <c r="J99" s="118">
        <f t="shared" ref="J99:J102" si="38">E99-I99</f>
        <v>1583.3000000007451</v>
      </c>
      <c r="K99" s="89">
        <v>9995036.6999999993</v>
      </c>
      <c r="L99" s="89">
        <v>0</v>
      </c>
      <c r="M99" s="89">
        <v>100</v>
      </c>
      <c r="N99" s="117" t="s">
        <v>31</v>
      </c>
    </row>
    <row r="100" spans="1:14" ht="54.75" customHeight="1" x14ac:dyDescent="0.2">
      <c r="A100" s="5">
        <v>54</v>
      </c>
      <c r="B100" s="83" t="s">
        <v>33</v>
      </c>
      <c r="C100" s="45">
        <f t="shared" si="37"/>
        <v>7660800</v>
      </c>
      <c r="D100" s="84">
        <v>0</v>
      </c>
      <c r="E100" s="91">
        <f>7770000-109200</f>
        <v>7660800</v>
      </c>
      <c r="F100" s="103" t="s">
        <v>400</v>
      </c>
      <c r="G100" s="86" t="s">
        <v>296</v>
      </c>
      <c r="H100" s="87" t="s">
        <v>721</v>
      </c>
      <c r="I100" s="84">
        <v>7660800</v>
      </c>
      <c r="J100" s="88">
        <f t="shared" si="38"/>
        <v>0</v>
      </c>
      <c r="K100" s="89">
        <v>7660800</v>
      </c>
      <c r="L100" s="89">
        <v>0</v>
      </c>
      <c r="M100" s="89">
        <f t="shared" ref="M100:M102" si="39">K100*100/E100</f>
        <v>100</v>
      </c>
      <c r="N100" s="117" t="s">
        <v>31</v>
      </c>
    </row>
    <row r="101" spans="1:14" ht="53.25" customHeight="1" x14ac:dyDescent="0.2">
      <c r="A101" s="5">
        <v>55</v>
      </c>
      <c r="B101" s="83" t="s">
        <v>34</v>
      </c>
      <c r="C101" s="45">
        <f t="shared" si="37"/>
        <v>2389600</v>
      </c>
      <c r="D101" s="84">
        <v>0</v>
      </c>
      <c r="E101" s="91">
        <f>2400000-10400</f>
        <v>2389600</v>
      </c>
      <c r="F101" s="103" t="s">
        <v>400</v>
      </c>
      <c r="G101" s="86" t="s">
        <v>296</v>
      </c>
      <c r="H101" s="87" t="s">
        <v>721</v>
      </c>
      <c r="I101" s="84">
        <v>2389600</v>
      </c>
      <c r="J101" s="88">
        <f t="shared" si="38"/>
        <v>0</v>
      </c>
      <c r="K101" s="89">
        <v>2389600</v>
      </c>
      <c r="L101" s="89">
        <v>0</v>
      </c>
      <c r="M101" s="89">
        <f t="shared" si="39"/>
        <v>100</v>
      </c>
      <c r="N101" s="117" t="s">
        <v>31</v>
      </c>
    </row>
    <row r="102" spans="1:14" ht="56.25" customHeight="1" x14ac:dyDescent="0.2">
      <c r="A102" s="5">
        <v>56</v>
      </c>
      <c r="B102" s="93" t="s">
        <v>35</v>
      </c>
      <c r="C102" s="45">
        <f t="shared" si="37"/>
        <v>3948000</v>
      </c>
      <c r="D102" s="91">
        <v>0</v>
      </c>
      <c r="E102" s="91">
        <f>3965000-17000</f>
        <v>3948000</v>
      </c>
      <c r="F102" s="103" t="s">
        <v>400</v>
      </c>
      <c r="G102" s="86" t="s">
        <v>296</v>
      </c>
      <c r="H102" s="87" t="s">
        <v>721</v>
      </c>
      <c r="I102" s="84">
        <v>3948000</v>
      </c>
      <c r="J102" s="88">
        <f t="shared" si="38"/>
        <v>0</v>
      </c>
      <c r="K102" s="89">
        <v>3948000</v>
      </c>
      <c r="L102" s="89">
        <f t="shared" ref="L102" si="40">E102-K102</f>
        <v>0</v>
      </c>
      <c r="M102" s="89">
        <f t="shared" si="39"/>
        <v>100</v>
      </c>
      <c r="N102" s="117" t="s">
        <v>31</v>
      </c>
    </row>
    <row r="103" spans="1:14" ht="24.75" customHeight="1" x14ac:dyDescent="0.2">
      <c r="A103" s="469" t="s">
        <v>217</v>
      </c>
      <c r="B103" s="469"/>
      <c r="C103" s="73">
        <f>E103</f>
        <v>10179000</v>
      </c>
      <c r="D103" s="73">
        <f t="shared" ref="D103:E103" si="41">D104+D105</f>
        <v>0</v>
      </c>
      <c r="E103" s="73">
        <f t="shared" si="41"/>
        <v>10179000</v>
      </c>
      <c r="F103" s="26"/>
      <c r="G103" s="165"/>
      <c r="H103" s="165"/>
      <c r="I103" s="73">
        <f t="shared" ref="I103:J103" si="42">I104+I105</f>
        <v>10179000</v>
      </c>
      <c r="J103" s="73">
        <f t="shared" si="42"/>
        <v>0</v>
      </c>
      <c r="K103" s="75">
        <f>K104+K105</f>
        <v>0</v>
      </c>
      <c r="L103" s="75">
        <f>L104+L105</f>
        <v>10179000</v>
      </c>
      <c r="M103" s="74">
        <f>K103*100/E103</f>
        <v>0</v>
      </c>
      <c r="N103" s="25"/>
    </row>
    <row r="104" spans="1:14" ht="58.5" customHeight="1" x14ac:dyDescent="0.2">
      <c r="A104" s="5">
        <v>57</v>
      </c>
      <c r="B104" s="93" t="s">
        <v>253</v>
      </c>
      <c r="C104" s="45">
        <f>E104</f>
        <v>8790000</v>
      </c>
      <c r="D104" s="91"/>
      <c r="E104" s="91">
        <f>10000000-1210000</f>
        <v>8790000</v>
      </c>
      <c r="F104" s="86" t="s">
        <v>360</v>
      </c>
      <c r="G104" s="87" t="s">
        <v>299</v>
      </c>
      <c r="H104" s="87" t="s">
        <v>720</v>
      </c>
      <c r="I104" s="45">
        <v>8790000</v>
      </c>
      <c r="J104" s="84">
        <f>E104-I104</f>
        <v>0</v>
      </c>
      <c r="K104" s="89">
        <v>0</v>
      </c>
      <c r="L104" s="89">
        <v>8790000</v>
      </c>
      <c r="M104" s="84">
        <f>K104*100/E104</f>
        <v>0</v>
      </c>
      <c r="N104" s="119" t="s">
        <v>36</v>
      </c>
    </row>
    <row r="105" spans="1:14" ht="37.5" x14ac:dyDescent="0.2">
      <c r="A105" s="5">
        <v>58</v>
      </c>
      <c r="B105" s="83" t="s">
        <v>254</v>
      </c>
      <c r="C105" s="45">
        <f>E105</f>
        <v>1389000</v>
      </c>
      <c r="D105" s="91"/>
      <c r="E105" s="91">
        <f>2100000-711000</f>
        <v>1389000</v>
      </c>
      <c r="F105" s="86" t="s">
        <v>360</v>
      </c>
      <c r="G105" s="87" t="s">
        <v>299</v>
      </c>
      <c r="H105" s="87" t="s">
        <v>719</v>
      </c>
      <c r="I105" s="84">
        <v>1389000</v>
      </c>
      <c r="J105" s="84">
        <f>E105-I105</f>
        <v>0</v>
      </c>
      <c r="K105" s="89">
        <v>0</v>
      </c>
      <c r="L105" s="89">
        <v>1389000</v>
      </c>
      <c r="M105" s="84">
        <f>K105*100/E105</f>
        <v>0</v>
      </c>
      <c r="N105" s="119" t="s">
        <v>36</v>
      </c>
    </row>
    <row r="106" spans="1:14" ht="39.75" customHeight="1" x14ac:dyDescent="0.2">
      <c r="A106" s="467" t="s">
        <v>218</v>
      </c>
      <c r="B106" s="468"/>
      <c r="C106" s="73">
        <f>C107</f>
        <v>370500</v>
      </c>
      <c r="D106" s="73">
        <f t="shared" ref="D106:E107" si="43">D107</f>
        <v>370500</v>
      </c>
      <c r="E106" s="73">
        <f t="shared" si="43"/>
        <v>0</v>
      </c>
      <c r="F106" s="26"/>
      <c r="G106" s="165"/>
      <c r="H106" s="165"/>
      <c r="I106" s="73">
        <f t="shared" ref="I106:J107" si="44">I107</f>
        <v>0</v>
      </c>
      <c r="J106" s="73">
        <f t="shared" si="44"/>
        <v>0</v>
      </c>
      <c r="K106" s="75">
        <f>K107</f>
        <v>179675</v>
      </c>
      <c r="L106" s="75">
        <f>L107</f>
        <v>190825</v>
      </c>
      <c r="M106" s="75">
        <f>K106*100/C106</f>
        <v>48.495276653171388</v>
      </c>
      <c r="N106" s="25"/>
    </row>
    <row r="107" spans="1:14" ht="25.5" customHeight="1" x14ac:dyDescent="0.2">
      <c r="A107" s="470" t="s">
        <v>219</v>
      </c>
      <c r="B107" s="468"/>
      <c r="C107" s="73">
        <f>C108</f>
        <v>370500</v>
      </c>
      <c r="D107" s="73">
        <f t="shared" si="43"/>
        <v>370500</v>
      </c>
      <c r="E107" s="73">
        <f t="shared" si="43"/>
        <v>0</v>
      </c>
      <c r="F107" s="26"/>
      <c r="G107" s="165"/>
      <c r="H107" s="165"/>
      <c r="I107" s="73">
        <f t="shared" si="44"/>
        <v>0</v>
      </c>
      <c r="J107" s="73">
        <f t="shared" si="44"/>
        <v>0</v>
      </c>
      <c r="K107" s="75">
        <f>K108</f>
        <v>179675</v>
      </c>
      <c r="L107" s="75">
        <f>L108</f>
        <v>190825</v>
      </c>
      <c r="M107" s="75">
        <f>K107*100/C107</f>
        <v>48.495276653171388</v>
      </c>
      <c r="N107" s="25"/>
    </row>
    <row r="108" spans="1:14" ht="40.5" customHeight="1" x14ac:dyDescent="0.2">
      <c r="A108" s="5">
        <v>59</v>
      </c>
      <c r="B108" s="93" t="s">
        <v>255</v>
      </c>
      <c r="C108" s="45">
        <f t="shared" ref="C108:C153" si="45">D108+E108</f>
        <v>370500</v>
      </c>
      <c r="D108" s="97">
        <v>370500</v>
      </c>
      <c r="E108" s="94">
        <v>0</v>
      </c>
      <c r="F108" s="103" t="s">
        <v>197</v>
      </c>
      <c r="G108" s="87"/>
      <c r="H108" s="87"/>
      <c r="I108" s="84"/>
      <c r="J108" s="84"/>
      <c r="K108" s="89">
        <f>92890+2850+10145+16250+5550+5200+4200+42590</f>
        <v>179675</v>
      </c>
      <c r="L108" s="89">
        <f>C108-K108</f>
        <v>190825</v>
      </c>
      <c r="M108" s="89">
        <f>K108*100/C108</f>
        <v>48.495276653171388</v>
      </c>
      <c r="N108" s="90" t="s">
        <v>37</v>
      </c>
    </row>
    <row r="109" spans="1:14" ht="20.25" customHeight="1" x14ac:dyDescent="0.2">
      <c r="A109" s="467" t="s">
        <v>220</v>
      </c>
      <c r="B109" s="468"/>
      <c r="C109" s="73">
        <f>C110+C113</f>
        <v>3978300</v>
      </c>
      <c r="D109" s="73">
        <f t="shared" ref="D109:E109" si="46">D110+D113</f>
        <v>1348300</v>
      </c>
      <c r="E109" s="73">
        <f t="shared" si="46"/>
        <v>2630000</v>
      </c>
      <c r="F109" s="26"/>
      <c r="G109" s="165"/>
      <c r="H109" s="165"/>
      <c r="I109" s="73">
        <f t="shared" ref="I109:J109" si="47">I110+I113</f>
        <v>2630000</v>
      </c>
      <c r="J109" s="73">
        <f t="shared" si="47"/>
        <v>0</v>
      </c>
      <c r="K109" s="75">
        <f>K110+K113</f>
        <v>3482974.34</v>
      </c>
      <c r="L109" s="75">
        <f>L110+L113</f>
        <v>2545325.66</v>
      </c>
      <c r="M109" s="75">
        <f t="shared" ref="M109:M115" si="48">K109*100/C109</f>
        <v>87.549313525877892</v>
      </c>
      <c r="N109" s="100"/>
    </row>
    <row r="110" spans="1:14" ht="20.25" customHeight="1" x14ac:dyDescent="0.2">
      <c r="A110" s="470" t="s">
        <v>221</v>
      </c>
      <c r="B110" s="468"/>
      <c r="C110" s="73">
        <f>C111+C112</f>
        <v>3398300</v>
      </c>
      <c r="D110" s="73">
        <f t="shared" ref="D110:E110" si="49">D111+D112</f>
        <v>1348300</v>
      </c>
      <c r="E110" s="73">
        <f t="shared" si="49"/>
        <v>2050000</v>
      </c>
      <c r="F110" s="26"/>
      <c r="G110" s="165"/>
      <c r="H110" s="165"/>
      <c r="I110" s="73">
        <f t="shared" ref="I110:J110" si="50">I111+I112</f>
        <v>2050000</v>
      </c>
      <c r="J110" s="73">
        <f t="shared" si="50"/>
        <v>0</v>
      </c>
      <c r="K110" s="75">
        <f>K111+K112</f>
        <v>2902974.34</v>
      </c>
      <c r="L110" s="75">
        <f>L111+L112</f>
        <v>2545325.66</v>
      </c>
      <c r="M110" s="75">
        <f t="shared" si="48"/>
        <v>85.424310390489367</v>
      </c>
      <c r="N110" s="100"/>
    </row>
    <row r="111" spans="1:14" ht="37.5" x14ac:dyDescent="0.2">
      <c r="A111" s="120">
        <v>60</v>
      </c>
      <c r="B111" s="121" t="s">
        <v>256</v>
      </c>
      <c r="C111" s="45">
        <f t="shared" si="45"/>
        <v>2050000</v>
      </c>
      <c r="D111" s="91"/>
      <c r="E111" s="91">
        <f>2500000-450000</f>
        <v>2050000</v>
      </c>
      <c r="F111" s="86" t="s">
        <v>400</v>
      </c>
      <c r="G111" s="87" t="s">
        <v>384</v>
      </c>
      <c r="H111" s="87" t="s">
        <v>718</v>
      </c>
      <c r="I111" s="84">
        <v>2050000</v>
      </c>
      <c r="J111" s="84">
        <f>E111-I111</f>
        <v>0</v>
      </c>
      <c r="K111" s="89">
        <v>2050000</v>
      </c>
      <c r="L111" s="89">
        <v>2050000</v>
      </c>
      <c r="M111" s="89">
        <f t="shared" si="48"/>
        <v>100</v>
      </c>
      <c r="N111" s="90" t="s">
        <v>38</v>
      </c>
    </row>
    <row r="112" spans="1:14" ht="51.75" customHeight="1" x14ac:dyDescent="0.2">
      <c r="A112" s="4">
        <v>61</v>
      </c>
      <c r="B112" s="121" t="s">
        <v>39</v>
      </c>
      <c r="C112" s="45">
        <f t="shared" si="45"/>
        <v>1348300</v>
      </c>
      <c r="D112" s="85">
        <v>1348300</v>
      </c>
      <c r="E112" s="94">
        <v>0</v>
      </c>
      <c r="F112" s="86" t="s">
        <v>261</v>
      </c>
      <c r="G112" s="87"/>
      <c r="H112" s="87"/>
      <c r="I112" s="84"/>
      <c r="J112" s="84"/>
      <c r="K112" s="89">
        <f>95000+366800+6000+22000-95000+14000+24500+8400+35000+211000+42000+84580+34874+3820.34</f>
        <v>852974.34</v>
      </c>
      <c r="L112" s="89">
        <f t="shared" ref="L112" si="51">C112-K112</f>
        <v>495325.66000000003</v>
      </c>
      <c r="M112" s="89">
        <f t="shared" si="48"/>
        <v>63.262948898613068</v>
      </c>
      <c r="N112" s="122" t="s">
        <v>40</v>
      </c>
    </row>
    <row r="113" spans="1:14" ht="21" x14ac:dyDescent="0.2">
      <c r="A113" s="469" t="s">
        <v>222</v>
      </c>
      <c r="B113" s="469"/>
      <c r="C113" s="73">
        <f>C114</f>
        <v>580000</v>
      </c>
      <c r="D113" s="73">
        <f t="shared" ref="D113:E113" si="52">D114</f>
        <v>0</v>
      </c>
      <c r="E113" s="73">
        <f t="shared" si="52"/>
        <v>580000</v>
      </c>
      <c r="F113" s="26"/>
      <c r="G113" s="165"/>
      <c r="H113" s="165"/>
      <c r="I113" s="73">
        <f t="shared" ref="I113:J113" si="53">I114</f>
        <v>580000</v>
      </c>
      <c r="J113" s="73">
        <f t="shared" si="53"/>
        <v>0</v>
      </c>
      <c r="K113" s="75">
        <f>K114</f>
        <v>580000</v>
      </c>
      <c r="L113" s="75">
        <f>L114</f>
        <v>0</v>
      </c>
      <c r="M113" s="75">
        <f t="shared" si="48"/>
        <v>100</v>
      </c>
      <c r="N113" s="100"/>
    </row>
    <row r="114" spans="1:14" ht="38.25" customHeight="1" x14ac:dyDescent="0.2">
      <c r="A114" s="5">
        <v>62</v>
      </c>
      <c r="B114" s="121" t="s">
        <v>132</v>
      </c>
      <c r="C114" s="45">
        <f t="shared" si="45"/>
        <v>580000</v>
      </c>
      <c r="D114" s="123">
        <v>0</v>
      </c>
      <c r="E114" s="94">
        <f>900000-320000</f>
        <v>580000</v>
      </c>
      <c r="F114" s="86" t="s">
        <v>400</v>
      </c>
      <c r="G114" s="87" t="s">
        <v>282</v>
      </c>
      <c r="H114" s="87" t="s">
        <v>717</v>
      </c>
      <c r="I114" s="84">
        <v>580000</v>
      </c>
      <c r="J114" s="88">
        <f>E114-I114</f>
        <v>0</v>
      </c>
      <c r="K114" s="89">
        <v>580000</v>
      </c>
      <c r="L114" s="89">
        <v>0</v>
      </c>
      <c r="M114" s="89">
        <v>100</v>
      </c>
      <c r="N114" s="90" t="s">
        <v>3</v>
      </c>
    </row>
    <row r="115" spans="1:14" ht="38.25" customHeight="1" x14ac:dyDescent="0.2">
      <c r="A115" s="467" t="s">
        <v>41</v>
      </c>
      <c r="B115" s="468"/>
      <c r="C115" s="73">
        <f>C116</f>
        <v>7847300</v>
      </c>
      <c r="D115" s="73">
        <f t="shared" ref="D115:E115" si="54">D116</f>
        <v>7847300</v>
      </c>
      <c r="E115" s="73">
        <f t="shared" si="54"/>
        <v>0</v>
      </c>
      <c r="F115" s="26"/>
      <c r="G115" s="165"/>
      <c r="H115" s="165"/>
      <c r="I115" s="73">
        <f t="shared" ref="I115:J115" si="55">I116</f>
        <v>0</v>
      </c>
      <c r="J115" s="73">
        <f t="shared" si="55"/>
        <v>0</v>
      </c>
      <c r="K115" s="75">
        <f>K116</f>
        <v>2409397.5</v>
      </c>
      <c r="L115" s="75">
        <f>L116</f>
        <v>5437902.5</v>
      </c>
      <c r="M115" s="75">
        <f t="shared" si="48"/>
        <v>30.703522230576123</v>
      </c>
      <c r="N115" s="100"/>
    </row>
    <row r="116" spans="1:14" ht="18.75" customHeight="1" x14ac:dyDescent="0.2">
      <c r="A116" s="467" t="s">
        <v>223</v>
      </c>
      <c r="B116" s="468"/>
      <c r="C116" s="73">
        <f>C117+C127</f>
        <v>7847300</v>
      </c>
      <c r="D116" s="73">
        <f t="shared" ref="D116:E116" si="56">D117+D127</f>
        <v>7847300</v>
      </c>
      <c r="E116" s="73">
        <f t="shared" si="56"/>
        <v>0</v>
      </c>
      <c r="F116" s="26"/>
      <c r="G116" s="165"/>
      <c r="H116" s="165"/>
      <c r="I116" s="73">
        <f t="shared" ref="I116:J116" si="57">I117+I127</f>
        <v>0</v>
      </c>
      <c r="J116" s="73">
        <f t="shared" si="57"/>
        <v>0</v>
      </c>
      <c r="K116" s="75">
        <f>K117+K127</f>
        <v>2409397.5</v>
      </c>
      <c r="L116" s="75">
        <f>L117+L127</f>
        <v>5437902.5</v>
      </c>
      <c r="M116" s="75">
        <f>K116*100/C117</f>
        <v>62.707167581917084</v>
      </c>
      <c r="N116" s="124"/>
    </row>
    <row r="117" spans="1:14" ht="21" customHeight="1" x14ac:dyDescent="0.2">
      <c r="A117" s="470" t="s">
        <v>224</v>
      </c>
      <c r="B117" s="468"/>
      <c r="C117" s="73">
        <f>C118+C119+C120+C121+C122</f>
        <v>3842300</v>
      </c>
      <c r="D117" s="73">
        <f t="shared" ref="D117:E117" si="58">D118+D119+D120+D121+D122</f>
        <v>3842300</v>
      </c>
      <c r="E117" s="73">
        <f t="shared" si="58"/>
        <v>0</v>
      </c>
      <c r="F117" s="26"/>
      <c r="G117" s="165"/>
      <c r="H117" s="165"/>
      <c r="I117" s="73">
        <f t="shared" ref="I117:J117" si="59">I118+I119+I120+I121+I122</f>
        <v>0</v>
      </c>
      <c r="J117" s="73">
        <f t="shared" si="59"/>
        <v>0</v>
      </c>
      <c r="K117" s="75">
        <f>K118+K119+K120+K121+K122</f>
        <v>2210804</v>
      </c>
      <c r="L117" s="75">
        <f>L118+L119+L120+L121+L122</f>
        <v>1631496</v>
      </c>
      <c r="M117" s="75">
        <f>K117*100/C117</f>
        <v>57.53855763475002</v>
      </c>
      <c r="N117" s="100"/>
    </row>
    <row r="118" spans="1:14" ht="37.5" customHeight="1" x14ac:dyDescent="0.2">
      <c r="A118" s="125">
        <v>63</v>
      </c>
      <c r="B118" s="126" t="s">
        <v>42</v>
      </c>
      <c r="C118" s="45">
        <f t="shared" si="45"/>
        <v>940200</v>
      </c>
      <c r="D118" s="127">
        <v>940200</v>
      </c>
      <c r="E118" s="128">
        <v>0</v>
      </c>
      <c r="F118" s="103" t="s">
        <v>197</v>
      </c>
      <c r="G118" s="87"/>
      <c r="H118" s="87"/>
      <c r="I118" s="84"/>
      <c r="J118" s="84"/>
      <c r="K118" s="89">
        <f>133520+104940+37440-5032+4900+37120+10000+109800+46600+10000+10000+16500-10120</f>
        <v>505668</v>
      </c>
      <c r="L118" s="89">
        <f>C118-K118</f>
        <v>434532</v>
      </c>
      <c r="M118" s="89">
        <f>K118*100/C118</f>
        <v>53.783024888321634</v>
      </c>
      <c r="N118" s="129" t="s">
        <v>12</v>
      </c>
    </row>
    <row r="119" spans="1:14" ht="37.5" customHeight="1" x14ac:dyDescent="0.2">
      <c r="A119" s="125">
        <v>64</v>
      </c>
      <c r="B119" s="109" t="s">
        <v>43</v>
      </c>
      <c r="C119" s="45">
        <f t="shared" si="45"/>
        <v>1339900</v>
      </c>
      <c r="D119" s="110">
        <v>1339900</v>
      </c>
      <c r="E119" s="94"/>
      <c r="F119" s="103" t="s">
        <v>197</v>
      </c>
      <c r="G119" s="87"/>
      <c r="H119" s="87"/>
      <c r="I119" s="84"/>
      <c r="J119" s="84"/>
      <c r="K119" s="89">
        <f>379500+32240+409000+210680+30750+17500+3790+2490+11600+4570+32010+10500+1500</f>
        <v>1146130</v>
      </c>
      <c r="L119" s="89">
        <f t="shared" ref="L119:L122" si="60">C119-K119</f>
        <v>193770</v>
      </c>
      <c r="M119" s="89">
        <f t="shared" ref="M119:M122" si="61">K119*100/C119</f>
        <v>85.538473020374653</v>
      </c>
      <c r="N119" s="129" t="s">
        <v>44</v>
      </c>
    </row>
    <row r="120" spans="1:14" ht="39" customHeight="1" x14ac:dyDescent="0.2">
      <c r="A120" s="125">
        <v>65</v>
      </c>
      <c r="B120" s="130" t="s">
        <v>45</v>
      </c>
      <c r="C120" s="45">
        <f t="shared" si="45"/>
        <v>405700</v>
      </c>
      <c r="D120" s="110">
        <v>405700</v>
      </c>
      <c r="E120" s="94"/>
      <c r="F120" s="103" t="s">
        <v>197</v>
      </c>
      <c r="G120" s="87"/>
      <c r="H120" s="87"/>
      <c r="I120" s="84"/>
      <c r="J120" s="84"/>
      <c r="K120" s="89">
        <f>26400+2625+26400+600+135475+19800+60000+39600+19800</f>
        <v>330700</v>
      </c>
      <c r="L120" s="89">
        <f t="shared" si="60"/>
        <v>75000</v>
      </c>
      <c r="M120" s="89">
        <f t="shared" si="61"/>
        <v>81.513433571604637</v>
      </c>
      <c r="N120" s="129" t="s">
        <v>44</v>
      </c>
    </row>
    <row r="121" spans="1:14" ht="35.25" customHeight="1" x14ac:dyDescent="0.2">
      <c r="A121" s="125">
        <v>66</v>
      </c>
      <c r="B121" s="130" t="s">
        <v>46</v>
      </c>
      <c r="C121" s="45">
        <f t="shared" si="45"/>
        <v>878500</v>
      </c>
      <c r="D121" s="84">
        <v>878500</v>
      </c>
      <c r="E121" s="94"/>
      <c r="F121" s="103" t="s">
        <v>197</v>
      </c>
      <c r="G121" s="87"/>
      <c r="H121" s="87"/>
      <c r="I121" s="84"/>
      <c r="J121" s="84"/>
      <c r="K121" s="89">
        <f>7500+16500+11700+26200+7500</f>
        <v>69400</v>
      </c>
      <c r="L121" s="89">
        <f t="shared" si="60"/>
        <v>809100</v>
      </c>
      <c r="M121" s="89">
        <f t="shared" si="61"/>
        <v>7.8998292544109274</v>
      </c>
      <c r="N121" s="131" t="s">
        <v>47</v>
      </c>
    </row>
    <row r="122" spans="1:14" ht="33" customHeight="1" x14ac:dyDescent="0.2">
      <c r="A122" s="82">
        <v>67</v>
      </c>
      <c r="B122" s="109" t="s">
        <v>48</v>
      </c>
      <c r="C122" s="45">
        <f t="shared" si="45"/>
        <v>278000</v>
      </c>
      <c r="D122" s="110">
        <v>278000</v>
      </c>
      <c r="E122" s="94"/>
      <c r="F122" s="103" t="s">
        <v>197</v>
      </c>
      <c r="G122" s="87"/>
      <c r="H122" s="87"/>
      <c r="I122" s="84"/>
      <c r="J122" s="84"/>
      <c r="K122" s="89">
        <f>K123+K124+K125+K126</f>
        <v>158906</v>
      </c>
      <c r="L122" s="89">
        <f t="shared" si="60"/>
        <v>119094</v>
      </c>
      <c r="M122" s="89">
        <f t="shared" si="61"/>
        <v>57.160431654676259</v>
      </c>
      <c r="N122" s="131" t="s">
        <v>47</v>
      </c>
    </row>
    <row r="123" spans="1:14" ht="40.5" hidden="1" customHeight="1" x14ac:dyDescent="0.2">
      <c r="A123" s="82"/>
      <c r="B123" s="109" t="s">
        <v>330</v>
      </c>
      <c r="C123" s="45"/>
      <c r="D123" s="110"/>
      <c r="E123" s="94"/>
      <c r="F123" s="103"/>
      <c r="G123" s="87"/>
      <c r="H123" s="87"/>
      <c r="I123" s="84"/>
      <c r="J123" s="84"/>
      <c r="K123" s="89">
        <f>26000+26400+8000+8800+1050+4000</f>
        <v>74250</v>
      </c>
      <c r="L123" s="89"/>
      <c r="M123" s="84"/>
      <c r="N123" s="131"/>
    </row>
    <row r="124" spans="1:14" ht="40.5" hidden="1" customHeight="1" x14ac:dyDescent="0.2">
      <c r="A124" s="82"/>
      <c r="B124" s="109" t="s">
        <v>331</v>
      </c>
      <c r="C124" s="45"/>
      <c r="D124" s="110"/>
      <c r="E124" s="94"/>
      <c r="F124" s="103"/>
      <c r="G124" s="87"/>
      <c r="H124" s="87"/>
      <c r="I124" s="84"/>
      <c r="J124" s="84"/>
      <c r="K124" s="89">
        <f>11700+1530+24270</f>
        <v>37500</v>
      </c>
      <c r="L124" s="89"/>
      <c r="M124" s="84"/>
      <c r="N124" s="131"/>
    </row>
    <row r="125" spans="1:14" ht="56.25" hidden="1" x14ac:dyDescent="0.2">
      <c r="A125" s="82"/>
      <c r="B125" s="109" t="s">
        <v>332</v>
      </c>
      <c r="C125" s="45"/>
      <c r="D125" s="110"/>
      <c r="E125" s="94"/>
      <c r="F125" s="103"/>
      <c r="G125" s="87"/>
      <c r="H125" s="87"/>
      <c r="I125" s="84"/>
      <c r="J125" s="84"/>
      <c r="K125" s="89">
        <f>23800+11016+10000+1440</f>
        <v>46256</v>
      </c>
      <c r="L125" s="89"/>
      <c r="M125" s="84"/>
      <c r="N125" s="131"/>
    </row>
    <row r="126" spans="1:14" ht="24.75" hidden="1" customHeight="1" x14ac:dyDescent="0.2">
      <c r="A126" s="82"/>
      <c r="B126" s="109" t="s">
        <v>333</v>
      </c>
      <c r="C126" s="45"/>
      <c r="D126" s="110"/>
      <c r="E126" s="94"/>
      <c r="F126" s="103"/>
      <c r="G126" s="87"/>
      <c r="H126" s="87"/>
      <c r="I126" s="84"/>
      <c r="J126" s="84"/>
      <c r="K126" s="89">
        <v>900</v>
      </c>
      <c r="L126" s="89"/>
      <c r="M126" s="84"/>
      <c r="N126" s="131"/>
    </row>
    <row r="127" spans="1:14" ht="21" x14ac:dyDescent="0.2">
      <c r="A127" s="469" t="s">
        <v>225</v>
      </c>
      <c r="B127" s="469"/>
      <c r="C127" s="73">
        <f>C128+C129</f>
        <v>4005000</v>
      </c>
      <c r="D127" s="73">
        <f t="shared" ref="D127:E127" si="62">D128+D129</f>
        <v>4005000</v>
      </c>
      <c r="E127" s="73">
        <f t="shared" si="62"/>
        <v>0</v>
      </c>
      <c r="F127" s="26"/>
      <c r="G127" s="165"/>
      <c r="H127" s="165"/>
      <c r="I127" s="73">
        <f t="shared" ref="I127:J127" si="63">I128+I129</f>
        <v>0</v>
      </c>
      <c r="J127" s="73">
        <f t="shared" si="63"/>
        <v>0</v>
      </c>
      <c r="K127" s="75">
        <f>K128+K129</f>
        <v>198593.5</v>
      </c>
      <c r="L127" s="75">
        <f>L128+L129</f>
        <v>3806406.5</v>
      </c>
      <c r="M127" s="75">
        <f t="shared" ref="M127:M143" si="64">K127*100/C127</f>
        <v>4.9586392009987517</v>
      </c>
      <c r="N127" s="100"/>
    </row>
    <row r="128" spans="1:14" ht="36.75" customHeight="1" x14ac:dyDescent="0.2">
      <c r="A128" s="82">
        <v>68</v>
      </c>
      <c r="B128" s="109" t="s">
        <v>49</v>
      </c>
      <c r="C128" s="45">
        <f t="shared" si="45"/>
        <v>2247900</v>
      </c>
      <c r="D128" s="84">
        <v>2247900</v>
      </c>
      <c r="E128" s="94">
        <v>0</v>
      </c>
      <c r="F128" s="103" t="s">
        <v>197</v>
      </c>
      <c r="G128" s="87"/>
      <c r="H128" s="87"/>
      <c r="I128" s="84"/>
      <c r="J128" s="84"/>
      <c r="K128" s="89">
        <v>6300</v>
      </c>
      <c r="L128" s="89">
        <f t="shared" ref="L128:L141" si="65">C128-K128</f>
        <v>2241600</v>
      </c>
      <c r="M128" s="89">
        <f t="shared" si="64"/>
        <v>0.28026157747230751</v>
      </c>
      <c r="N128" s="111" t="s">
        <v>50</v>
      </c>
    </row>
    <row r="129" spans="1:14" ht="35.25" customHeight="1" x14ac:dyDescent="0.2">
      <c r="A129" s="125">
        <v>69</v>
      </c>
      <c r="B129" s="109" t="s">
        <v>51</v>
      </c>
      <c r="C129" s="45">
        <f t="shared" si="45"/>
        <v>1757100</v>
      </c>
      <c r="D129" s="110">
        <v>1757100</v>
      </c>
      <c r="E129" s="94">
        <v>0</v>
      </c>
      <c r="F129" s="103" t="s">
        <v>197</v>
      </c>
      <c r="G129" s="87"/>
      <c r="H129" s="87"/>
      <c r="I129" s="84"/>
      <c r="J129" s="84"/>
      <c r="K129" s="89">
        <f>720+10048+181525.5</f>
        <v>192293.5</v>
      </c>
      <c r="L129" s="89">
        <f t="shared" si="65"/>
        <v>1564806.5</v>
      </c>
      <c r="M129" s="89">
        <f t="shared" si="64"/>
        <v>10.943799442262819</v>
      </c>
      <c r="N129" s="111" t="s">
        <v>52</v>
      </c>
    </row>
    <row r="130" spans="1:14" ht="18.75" customHeight="1" x14ac:dyDescent="0.2">
      <c r="A130" s="486" t="s">
        <v>53</v>
      </c>
      <c r="B130" s="487"/>
      <c r="C130" s="73">
        <f>C131</f>
        <v>5765200</v>
      </c>
      <c r="D130" s="73">
        <f t="shared" ref="D130:E130" si="66">D131</f>
        <v>5390200</v>
      </c>
      <c r="E130" s="73">
        <f t="shared" si="66"/>
        <v>375000</v>
      </c>
      <c r="F130" s="26"/>
      <c r="G130" s="165"/>
      <c r="H130" s="165"/>
      <c r="I130" s="73">
        <f t="shared" ref="I130:J130" si="67">I131</f>
        <v>375000</v>
      </c>
      <c r="J130" s="73">
        <f t="shared" si="67"/>
        <v>0</v>
      </c>
      <c r="K130" s="75">
        <f>K131</f>
        <v>1659148</v>
      </c>
      <c r="L130" s="75">
        <f>L131</f>
        <v>4106052</v>
      </c>
      <c r="M130" s="75">
        <f t="shared" si="64"/>
        <v>28.77867203219316</v>
      </c>
      <c r="N130" s="100"/>
    </row>
    <row r="131" spans="1:14" ht="18.75" customHeight="1" x14ac:dyDescent="0.2">
      <c r="A131" s="467" t="s">
        <v>227</v>
      </c>
      <c r="B131" s="468"/>
      <c r="C131" s="73">
        <f>C132+C136+C138</f>
        <v>5765200</v>
      </c>
      <c r="D131" s="73">
        <f t="shared" ref="D131:E131" si="68">D132+D136+D138</f>
        <v>5390200</v>
      </c>
      <c r="E131" s="73">
        <f t="shared" si="68"/>
        <v>375000</v>
      </c>
      <c r="F131" s="26"/>
      <c r="G131" s="165"/>
      <c r="H131" s="165"/>
      <c r="I131" s="73">
        <f t="shared" ref="I131:J131" si="69">I132+I136+I138</f>
        <v>375000</v>
      </c>
      <c r="J131" s="73">
        <f t="shared" si="69"/>
        <v>0</v>
      </c>
      <c r="K131" s="75">
        <f>K132+K136+K138</f>
        <v>1659148</v>
      </c>
      <c r="L131" s="75">
        <f>L132+L136+L138</f>
        <v>4106052</v>
      </c>
      <c r="M131" s="75">
        <f t="shared" si="64"/>
        <v>28.77867203219316</v>
      </c>
      <c r="N131" s="124"/>
    </row>
    <row r="132" spans="1:14" ht="21" x14ac:dyDescent="0.2">
      <c r="A132" s="484" t="s">
        <v>226</v>
      </c>
      <c r="B132" s="485"/>
      <c r="C132" s="73">
        <f>C133</f>
        <v>2375000</v>
      </c>
      <c r="D132" s="73">
        <f t="shared" ref="D132:E132" si="70">D133</f>
        <v>2000000</v>
      </c>
      <c r="E132" s="73">
        <f t="shared" si="70"/>
        <v>375000</v>
      </c>
      <c r="F132" s="26"/>
      <c r="G132" s="165"/>
      <c r="H132" s="165"/>
      <c r="I132" s="73">
        <f t="shared" ref="I132:J132" si="71">I133</f>
        <v>375000</v>
      </c>
      <c r="J132" s="73">
        <f t="shared" si="71"/>
        <v>0</v>
      </c>
      <c r="K132" s="75">
        <f>K133</f>
        <v>1375000</v>
      </c>
      <c r="L132" s="75">
        <f>L133</f>
        <v>1000000</v>
      </c>
      <c r="M132" s="75">
        <f t="shared" si="64"/>
        <v>57.89473684210526</v>
      </c>
      <c r="N132" s="100"/>
    </row>
    <row r="133" spans="1:14" ht="35.25" customHeight="1" x14ac:dyDescent="0.2">
      <c r="A133" s="5">
        <v>70</v>
      </c>
      <c r="B133" s="132" t="s">
        <v>54</v>
      </c>
      <c r="C133" s="45">
        <f t="shared" si="45"/>
        <v>2375000</v>
      </c>
      <c r="D133" s="110">
        <f>D134</f>
        <v>2000000</v>
      </c>
      <c r="E133" s="94">
        <f>E135</f>
        <v>375000</v>
      </c>
      <c r="F133" s="95"/>
      <c r="G133" s="87"/>
      <c r="H133" s="87"/>
      <c r="I133" s="84">
        <f>I135</f>
        <v>375000</v>
      </c>
      <c r="J133" s="84">
        <f>J135</f>
        <v>0</v>
      </c>
      <c r="K133" s="89">
        <f>K134+K135</f>
        <v>1375000</v>
      </c>
      <c r="L133" s="89">
        <f t="shared" si="65"/>
        <v>1000000</v>
      </c>
      <c r="M133" s="89">
        <f t="shared" si="64"/>
        <v>57.89473684210526</v>
      </c>
      <c r="N133" s="111" t="s">
        <v>16</v>
      </c>
    </row>
    <row r="134" spans="1:14" ht="27" customHeight="1" x14ac:dyDescent="0.2">
      <c r="A134" s="5"/>
      <c r="B134" s="132" t="s">
        <v>83</v>
      </c>
      <c r="C134" s="45"/>
      <c r="D134" s="127">
        <v>2000000</v>
      </c>
      <c r="E134" s="128"/>
      <c r="F134" s="95"/>
      <c r="G134" s="87"/>
      <c r="H134" s="87"/>
      <c r="I134" s="84"/>
      <c r="J134" s="84"/>
      <c r="K134" s="89">
        <f>500000+300000+200000</f>
        <v>1000000</v>
      </c>
      <c r="L134" s="89">
        <f>D134-K134</f>
        <v>1000000</v>
      </c>
      <c r="M134" s="89">
        <f>K134*100/D134</f>
        <v>50</v>
      </c>
      <c r="N134" s="111"/>
    </row>
    <row r="135" spans="1:14" ht="40.5" customHeight="1" x14ac:dyDescent="0.2">
      <c r="A135" s="5"/>
      <c r="B135" s="132" t="s">
        <v>343</v>
      </c>
      <c r="C135" s="45">
        <f>D135+E135</f>
        <v>375000</v>
      </c>
      <c r="D135" s="127"/>
      <c r="E135" s="128">
        <v>375000</v>
      </c>
      <c r="F135" s="86" t="s">
        <v>400</v>
      </c>
      <c r="G135" s="87" t="s">
        <v>300</v>
      </c>
      <c r="H135" s="87" t="s">
        <v>716</v>
      </c>
      <c r="I135" s="84">
        <v>375000</v>
      </c>
      <c r="J135" s="84">
        <f>E135-I135</f>
        <v>0</v>
      </c>
      <c r="K135" s="89">
        <v>375000</v>
      </c>
      <c r="L135" s="89">
        <f t="shared" si="65"/>
        <v>0</v>
      </c>
      <c r="M135" s="89">
        <f t="shared" si="64"/>
        <v>100</v>
      </c>
      <c r="N135" s="111"/>
    </row>
    <row r="136" spans="1:14" ht="21" x14ac:dyDescent="0.2">
      <c r="A136" s="469" t="s">
        <v>228</v>
      </c>
      <c r="B136" s="469"/>
      <c r="C136" s="73">
        <f>C137</f>
        <v>3000000</v>
      </c>
      <c r="D136" s="73">
        <f t="shared" ref="D136:E136" si="72">D137</f>
        <v>3000000</v>
      </c>
      <c r="E136" s="73">
        <f t="shared" si="72"/>
        <v>0</v>
      </c>
      <c r="F136" s="26"/>
      <c r="G136" s="165"/>
      <c r="H136" s="165"/>
      <c r="I136" s="73">
        <f t="shared" ref="I136:J136" si="73">I137</f>
        <v>0</v>
      </c>
      <c r="J136" s="73">
        <f t="shared" si="73"/>
        <v>0</v>
      </c>
      <c r="K136" s="75">
        <f>K137</f>
        <v>250000</v>
      </c>
      <c r="L136" s="75">
        <f t="shared" si="65"/>
        <v>2750000</v>
      </c>
      <c r="M136" s="75">
        <f t="shared" si="64"/>
        <v>8.3333333333333339</v>
      </c>
      <c r="N136" s="100"/>
    </row>
    <row r="137" spans="1:14" ht="35.25" customHeight="1" x14ac:dyDescent="0.2">
      <c r="A137" s="5">
        <v>71</v>
      </c>
      <c r="B137" s="109" t="s">
        <v>55</v>
      </c>
      <c r="C137" s="45">
        <f t="shared" si="45"/>
        <v>3000000</v>
      </c>
      <c r="D137" s="133">
        <v>3000000</v>
      </c>
      <c r="E137" s="133"/>
      <c r="F137" s="191" t="s">
        <v>197</v>
      </c>
      <c r="G137" s="87"/>
      <c r="H137" s="87"/>
      <c r="I137" s="84"/>
      <c r="J137" s="84"/>
      <c r="K137" s="89">
        <f>228000+6325+15675</f>
        <v>250000</v>
      </c>
      <c r="L137" s="89">
        <f t="shared" si="65"/>
        <v>2750000</v>
      </c>
      <c r="M137" s="89">
        <f t="shared" si="64"/>
        <v>8.3333333333333339</v>
      </c>
      <c r="N137" s="111" t="s">
        <v>16</v>
      </c>
    </row>
    <row r="138" spans="1:14" ht="21" x14ac:dyDescent="0.2">
      <c r="A138" s="469" t="s">
        <v>229</v>
      </c>
      <c r="B138" s="469"/>
      <c r="C138" s="73">
        <f>C139</f>
        <v>390200</v>
      </c>
      <c r="D138" s="73">
        <f t="shared" ref="D138:E138" si="74">D139</f>
        <v>390200</v>
      </c>
      <c r="E138" s="73">
        <f t="shared" si="74"/>
        <v>0</v>
      </c>
      <c r="F138" s="26"/>
      <c r="G138" s="165"/>
      <c r="H138" s="165"/>
      <c r="I138" s="73">
        <f t="shared" ref="I138:J138" si="75">I139</f>
        <v>0</v>
      </c>
      <c r="J138" s="73">
        <f t="shared" si="75"/>
        <v>0</v>
      </c>
      <c r="K138" s="75">
        <f>K139</f>
        <v>34148</v>
      </c>
      <c r="L138" s="75">
        <f t="shared" si="65"/>
        <v>356052</v>
      </c>
      <c r="M138" s="75">
        <f t="shared" si="64"/>
        <v>8.7514095335725273</v>
      </c>
      <c r="N138" s="100"/>
    </row>
    <row r="139" spans="1:14" ht="34.5" customHeight="1" x14ac:dyDescent="0.2">
      <c r="A139" s="5">
        <v>72</v>
      </c>
      <c r="B139" s="132" t="s">
        <v>56</v>
      </c>
      <c r="C139" s="45">
        <f t="shared" si="45"/>
        <v>390200</v>
      </c>
      <c r="D139" s="110">
        <v>390200</v>
      </c>
      <c r="E139" s="94"/>
      <c r="F139" s="103" t="s">
        <v>197</v>
      </c>
      <c r="G139" s="87"/>
      <c r="H139" s="87"/>
      <c r="I139" s="84"/>
      <c r="J139" s="84"/>
      <c r="K139" s="89">
        <f>38000+2000-6572+720</f>
        <v>34148</v>
      </c>
      <c r="L139" s="89">
        <f t="shared" si="65"/>
        <v>356052</v>
      </c>
      <c r="M139" s="89">
        <f t="shared" si="64"/>
        <v>8.7514095335725273</v>
      </c>
      <c r="N139" s="111" t="s">
        <v>52</v>
      </c>
    </row>
    <row r="140" spans="1:14" ht="38.25" customHeight="1" x14ac:dyDescent="0.2">
      <c r="A140" s="467" t="s">
        <v>57</v>
      </c>
      <c r="B140" s="468"/>
      <c r="C140" s="73">
        <f>C141</f>
        <v>5475300</v>
      </c>
      <c r="D140" s="73">
        <f t="shared" ref="D140:E141" si="76">D141</f>
        <v>5475300</v>
      </c>
      <c r="E140" s="73">
        <f t="shared" si="76"/>
        <v>0</v>
      </c>
      <c r="F140" s="26"/>
      <c r="G140" s="165"/>
      <c r="H140" s="165"/>
      <c r="I140" s="73">
        <f t="shared" ref="I140:J141" si="77">I141</f>
        <v>0</v>
      </c>
      <c r="J140" s="73">
        <f t="shared" si="77"/>
        <v>0</v>
      </c>
      <c r="K140" s="75">
        <f>K141</f>
        <v>3830988.66</v>
      </c>
      <c r="L140" s="75">
        <f t="shared" si="65"/>
        <v>1644311.3399999999</v>
      </c>
      <c r="M140" s="75">
        <f t="shared" si="64"/>
        <v>69.968561722645333</v>
      </c>
      <c r="N140" s="25"/>
    </row>
    <row r="141" spans="1:14" ht="21" customHeight="1" x14ac:dyDescent="0.2">
      <c r="A141" s="467" t="s">
        <v>230</v>
      </c>
      <c r="B141" s="468"/>
      <c r="C141" s="73">
        <f>C142</f>
        <v>5475300</v>
      </c>
      <c r="D141" s="73">
        <f t="shared" si="76"/>
        <v>5475300</v>
      </c>
      <c r="E141" s="73">
        <f t="shared" si="76"/>
        <v>0</v>
      </c>
      <c r="F141" s="26"/>
      <c r="G141" s="165"/>
      <c r="H141" s="165"/>
      <c r="I141" s="73">
        <f t="shared" si="77"/>
        <v>0</v>
      </c>
      <c r="J141" s="73">
        <f t="shared" si="77"/>
        <v>0</v>
      </c>
      <c r="K141" s="75">
        <f>K142</f>
        <v>3830988.66</v>
      </c>
      <c r="L141" s="75">
        <f t="shared" si="65"/>
        <v>1644311.3399999999</v>
      </c>
      <c r="M141" s="75">
        <f t="shared" si="64"/>
        <v>69.968561722645333</v>
      </c>
      <c r="N141" s="25"/>
    </row>
    <row r="142" spans="1:14" ht="39" customHeight="1" x14ac:dyDescent="0.2">
      <c r="A142" s="469" t="s">
        <v>231</v>
      </c>
      <c r="B142" s="469"/>
      <c r="C142" s="73">
        <f>D142+E142</f>
        <v>5475300</v>
      </c>
      <c r="D142" s="73">
        <f>D143+D144+D145+D146+D147+D148+D149+D150+D153</f>
        <v>5475300</v>
      </c>
      <c r="E142" s="80">
        <v>0</v>
      </c>
      <c r="F142" s="95"/>
      <c r="G142" s="165"/>
      <c r="H142" s="165"/>
      <c r="I142" s="73">
        <f>I143+I144+I145+I146+I147+I148+I149+I150+I153</f>
        <v>0</v>
      </c>
      <c r="J142" s="73">
        <f>J143+J144+J145+J146+J147+J148+J149+J150+J153</f>
        <v>0</v>
      </c>
      <c r="K142" s="75">
        <f>K143+K144+K145+K146+K147+K148+K149+K150+K153</f>
        <v>3830988.66</v>
      </c>
      <c r="L142" s="75">
        <f>L143+L144+L145+L146+L147+L148+L149+L150+L153</f>
        <v>1644311.34</v>
      </c>
      <c r="M142" s="75">
        <f t="shared" si="64"/>
        <v>69.968561722645333</v>
      </c>
      <c r="N142" s="25"/>
    </row>
    <row r="143" spans="1:14" ht="69" x14ac:dyDescent="0.2">
      <c r="A143" s="5">
        <v>73</v>
      </c>
      <c r="B143" s="93" t="s">
        <v>58</v>
      </c>
      <c r="C143" s="45">
        <f t="shared" si="45"/>
        <v>500000</v>
      </c>
      <c r="D143" s="97">
        <v>500000</v>
      </c>
      <c r="E143" s="94"/>
      <c r="F143" s="103" t="s">
        <v>687</v>
      </c>
      <c r="G143" s="87"/>
      <c r="H143" s="87"/>
      <c r="I143" s="84"/>
      <c r="J143" s="84"/>
      <c r="K143" s="89"/>
      <c r="L143" s="89">
        <f>C143-K143</f>
        <v>500000</v>
      </c>
      <c r="M143" s="84">
        <f t="shared" si="64"/>
        <v>0</v>
      </c>
      <c r="N143" s="134" t="s">
        <v>688</v>
      </c>
    </row>
    <row r="144" spans="1:14" ht="55.5" customHeight="1" x14ac:dyDescent="0.2">
      <c r="A144" s="5">
        <v>74</v>
      </c>
      <c r="B144" s="93" t="s">
        <v>60</v>
      </c>
      <c r="C144" s="45">
        <f t="shared" si="45"/>
        <v>500000</v>
      </c>
      <c r="D144" s="97">
        <v>500000</v>
      </c>
      <c r="E144" s="94"/>
      <c r="F144" s="152" t="s">
        <v>400</v>
      </c>
      <c r="G144" s="87"/>
      <c r="H144" s="87"/>
      <c r="I144" s="84"/>
      <c r="J144" s="84"/>
      <c r="K144" s="89">
        <v>500000</v>
      </c>
      <c r="L144" s="89">
        <f t="shared" ref="L144:L153" si="78">C144-K144</f>
        <v>0</v>
      </c>
      <c r="M144" s="89">
        <f t="shared" ref="M144:M150" si="79">K144*100/C144</f>
        <v>100</v>
      </c>
      <c r="N144" s="119" t="s">
        <v>61</v>
      </c>
    </row>
    <row r="145" spans="1:15" ht="66" customHeight="1" x14ac:dyDescent="0.2">
      <c r="A145" s="5">
        <v>75</v>
      </c>
      <c r="B145" s="93" t="s">
        <v>62</v>
      </c>
      <c r="C145" s="45">
        <f t="shared" si="45"/>
        <v>600000</v>
      </c>
      <c r="D145" s="97">
        <v>600000</v>
      </c>
      <c r="E145" s="94"/>
      <c r="F145" s="152" t="s">
        <v>400</v>
      </c>
      <c r="G145" s="87"/>
      <c r="H145" s="87"/>
      <c r="I145" s="84"/>
      <c r="J145" s="84"/>
      <c r="K145" s="89">
        <f>100000+100000+100000+100000+100000+100000</f>
        <v>600000</v>
      </c>
      <c r="L145" s="89">
        <f t="shared" si="78"/>
        <v>0</v>
      </c>
      <c r="M145" s="89">
        <f t="shared" si="79"/>
        <v>100</v>
      </c>
      <c r="N145" s="119" t="s">
        <v>689</v>
      </c>
    </row>
    <row r="146" spans="1:15" ht="49.5" customHeight="1" x14ac:dyDescent="0.2">
      <c r="A146" s="5">
        <v>76</v>
      </c>
      <c r="B146" s="83" t="s">
        <v>63</v>
      </c>
      <c r="C146" s="45">
        <f t="shared" si="45"/>
        <v>500000</v>
      </c>
      <c r="D146" s="97">
        <v>500000</v>
      </c>
      <c r="E146" s="94"/>
      <c r="F146" s="115" t="s">
        <v>400</v>
      </c>
      <c r="G146" s="87"/>
      <c r="H146" s="87"/>
      <c r="I146" s="84"/>
      <c r="J146" s="84"/>
      <c r="K146" s="89">
        <f>75000+100000+75000+100000+50000+100000</f>
        <v>500000</v>
      </c>
      <c r="L146" s="89">
        <f t="shared" si="78"/>
        <v>0</v>
      </c>
      <c r="M146" s="89">
        <f t="shared" si="79"/>
        <v>100</v>
      </c>
      <c r="N146" s="119" t="s">
        <v>690</v>
      </c>
    </row>
    <row r="147" spans="1:15" ht="53.25" customHeight="1" x14ac:dyDescent="0.2">
      <c r="A147" s="5">
        <v>77</v>
      </c>
      <c r="B147" s="93" t="s">
        <v>64</v>
      </c>
      <c r="C147" s="45">
        <f t="shared" si="45"/>
        <v>500000</v>
      </c>
      <c r="D147" s="84">
        <v>500000</v>
      </c>
      <c r="E147" s="94"/>
      <c r="F147" s="115" t="s">
        <v>400</v>
      </c>
      <c r="G147" s="87"/>
      <c r="H147" s="87"/>
      <c r="I147" s="84"/>
      <c r="J147" s="84"/>
      <c r="K147" s="89">
        <v>500000</v>
      </c>
      <c r="L147" s="89">
        <f t="shared" si="78"/>
        <v>0</v>
      </c>
      <c r="M147" s="89">
        <f t="shared" si="79"/>
        <v>100</v>
      </c>
      <c r="N147" s="119" t="s">
        <v>691</v>
      </c>
    </row>
    <row r="148" spans="1:15" ht="54.75" customHeight="1" x14ac:dyDescent="0.2">
      <c r="A148" s="5">
        <v>78</v>
      </c>
      <c r="B148" s="93" t="s">
        <v>65</v>
      </c>
      <c r="C148" s="45">
        <f t="shared" si="45"/>
        <v>527500</v>
      </c>
      <c r="D148" s="97">
        <v>527500</v>
      </c>
      <c r="E148" s="94"/>
      <c r="F148" s="327" t="s">
        <v>261</v>
      </c>
      <c r="G148" s="87"/>
      <c r="H148" s="87"/>
      <c r="I148" s="84"/>
      <c r="J148" s="84"/>
      <c r="K148" s="89">
        <v>132000</v>
      </c>
      <c r="L148" s="89">
        <f t="shared" si="78"/>
        <v>395500</v>
      </c>
      <c r="M148" s="89">
        <f t="shared" si="79"/>
        <v>25.023696682464454</v>
      </c>
      <c r="N148" s="119" t="s">
        <v>692</v>
      </c>
    </row>
    <row r="149" spans="1:15" ht="66.75" customHeight="1" x14ac:dyDescent="0.2">
      <c r="A149" s="5">
        <v>79</v>
      </c>
      <c r="B149" s="93" t="s">
        <v>66</v>
      </c>
      <c r="C149" s="45">
        <f t="shared" si="45"/>
        <v>500000</v>
      </c>
      <c r="D149" s="84">
        <v>500000</v>
      </c>
      <c r="E149" s="94"/>
      <c r="F149" s="115" t="s">
        <v>261</v>
      </c>
      <c r="G149" s="87"/>
      <c r="H149" s="87"/>
      <c r="I149" s="84"/>
      <c r="J149" s="84"/>
      <c r="K149" s="89">
        <v>22700</v>
      </c>
      <c r="L149" s="89">
        <f t="shared" si="78"/>
        <v>477300</v>
      </c>
      <c r="M149" s="89">
        <f>K149*100/C149</f>
        <v>4.54</v>
      </c>
      <c r="N149" s="119" t="s">
        <v>67</v>
      </c>
    </row>
    <row r="150" spans="1:15" ht="64.5" customHeight="1" x14ac:dyDescent="0.2">
      <c r="A150" s="5">
        <v>80</v>
      </c>
      <c r="B150" s="108" t="s">
        <v>68</v>
      </c>
      <c r="C150" s="45">
        <f t="shared" si="45"/>
        <v>500000</v>
      </c>
      <c r="D150" s="84">
        <v>500000</v>
      </c>
      <c r="E150" s="94"/>
      <c r="F150" s="115" t="s">
        <v>261</v>
      </c>
      <c r="G150" s="87"/>
      <c r="H150" s="87"/>
      <c r="I150" s="84"/>
      <c r="J150" s="84"/>
      <c r="K150" s="89">
        <f>K151+K152</f>
        <v>250000</v>
      </c>
      <c r="L150" s="89">
        <f>C150-K150</f>
        <v>250000</v>
      </c>
      <c r="M150" s="89">
        <f t="shared" si="79"/>
        <v>50</v>
      </c>
      <c r="N150" s="119" t="s">
        <v>69</v>
      </c>
    </row>
    <row r="151" spans="1:15" ht="24.75" customHeight="1" x14ac:dyDescent="0.2">
      <c r="A151" s="5"/>
      <c r="B151" s="108" t="s">
        <v>683</v>
      </c>
      <c r="C151" s="45">
        <f t="shared" si="45"/>
        <v>250000</v>
      </c>
      <c r="D151" s="84">
        <v>250000</v>
      </c>
      <c r="E151" s="94"/>
      <c r="F151" s="115"/>
      <c r="G151" s="87"/>
      <c r="H151" s="87"/>
      <c r="I151" s="84"/>
      <c r="J151" s="84"/>
      <c r="K151" s="89">
        <f>100000+40000+30000+60000+20000</f>
        <v>250000</v>
      </c>
      <c r="L151" s="89">
        <f>D151-K151</f>
        <v>0</v>
      </c>
      <c r="M151" s="89">
        <f>K151*100/D151</f>
        <v>100</v>
      </c>
      <c r="N151" s="119"/>
    </row>
    <row r="152" spans="1:15" ht="24" customHeight="1" x14ac:dyDescent="0.2">
      <c r="A152" s="5"/>
      <c r="B152" s="108" t="s">
        <v>684</v>
      </c>
      <c r="C152" s="45">
        <f t="shared" si="45"/>
        <v>250000</v>
      </c>
      <c r="D152" s="84">
        <v>250000</v>
      </c>
      <c r="E152" s="94"/>
      <c r="F152" s="115"/>
      <c r="G152" s="87"/>
      <c r="H152" s="87"/>
      <c r="I152" s="84"/>
      <c r="J152" s="84"/>
      <c r="K152" s="89">
        <v>0</v>
      </c>
      <c r="L152" s="89">
        <f>D152-K152</f>
        <v>250000</v>
      </c>
      <c r="M152" s="89">
        <f>K152*100/D152</f>
        <v>0</v>
      </c>
      <c r="N152" s="119"/>
    </row>
    <row r="153" spans="1:15" ht="66" customHeight="1" x14ac:dyDescent="0.2">
      <c r="A153" s="5">
        <v>81</v>
      </c>
      <c r="B153" s="135" t="s">
        <v>70</v>
      </c>
      <c r="C153" s="45">
        <f t="shared" si="45"/>
        <v>1347800</v>
      </c>
      <c r="D153" s="84">
        <v>1347800</v>
      </c>
      <c r="E153" s="94"/>
      <c r="F153" s="115" t="s">
        <v>261</v>
      </c>
      <c r="G153" s="87"/>
      <c r="H153" s="87"/>
      <c r="I153" s="84"/>
      <c r="J153" s="84"/>
      <c r="K153" s="89">
        <f>28000+28800+68000+44000+84000+7038.46+13360+9565.2+6000+30000+30000+2000+2000+3500+24000+45000+9600+50000+29985+100000+11000+14000+7500+30000+9000+96500+43660+30000+11420+20000+18000+62000+100000+30000+30000+153360+10000+10000+25000</f>
        <v>1326288.6599999999</v>
      </c>
      <c r="L153" s="89">
        <f t="shared" si="78"/>
        <v>21511.340000000084</v>
      </c>
      <c r="M153" s="89">
        <f>K153*100/C153</f>
        <v>98.403966463867036</v>
      </c>
      <c r="N153" s="119" t="s">
        <v>71</v>
      </c>
    </row>
    <row r="154" spans="1:15" ht="24.75" customHeight="1" x14ac:dyDescent="0.2">
      <c r="A154" s="5"/>
      <c r="B154" s="136" t="s">
        <v>72</v>
      </c>
      <c r="C154" s="73">
        <v>8000000</v>
      </c>
      <c r="D154" s="73">
        <v>8000000</v>
      </c>
      <c r="E154" s="74">
        <v>0</v>
      </c>
      <c r="F154" s="137"/>
      <c r="G154" s="166"/>
      <c r="H154" s="166"/>
      <c r="I154" s="138"/>
      <c r="J154" s="138">
        <v>0</v>
      </c>
      <c r="K154" s="139">
        <f>'งบ 8 ล้าน'!F6</f>
        <v>3657724.24</v>
      </c>
      <c r="L154" s="139">
        <f>C154-K154</f>
        <v>4342275.76</v>
      </c>
      <c r="M154" s="75">
        <f>K154*100/C154</f>
        <v>45.721553</v>
      </c>
      <c r="N154" s="14"/>
    </row>
    <row r="155" spans="1:15" s="173" customFormat="1" ht="24.75" customHeight="1" x14ac:dyDescent="0.2">
      <c r="A155" s="5"/>
      <c r="B155" s="174" t="s">
        <v>397</v>
      </c>
      <c r="C155" s="175">
        <f>D155+E155</f>
        <v>8160000</v>
      </c>
      <c r="D155" s="175">
        <f>D156+D157+D159+D165</f>
        <v>2164500</v>
      </c>
      <c r="E155" s="176">
        <f>E158+E159+E163+E164</f>
        <v>5995500</v>
      </c>
      <c r="F155" s="177"/>
      <c r="G155" s="178"/>
      <c r="H155" s="178"/>
      <c r="I155" s="179">
        <f>I158+I162+I163+I164</f>
        <v>4943543</v>
      </c>
      <c r="J155" s="179">
        <f>J163+J164</f>
        <v>601957</v>
      </c>
      <c r="K155" s="180">
        <f>K156+K157+K158+K159+K163+K164+K165</f>
        <v>2653500</v>
      </c>
      <c r="L155" s="180">
        <f>L156+L157+L158+L159+L163+L164+L165</f>
        <v>5506500</v>
      </c>
      <c r="M155" s="181"/>
      <c r="N155" s="182"/>
    </row>
    <row r="156" spans="1:15" s="172" customFormat="1" ht="34.5" x14ac:dyDescent="0.2">
      <c r="A156" s="82"/>
      <c r="B156" s="19" t="s">
        <v>426</v>
      </c>
      <c r="C156" s="45">
        <f>D156</f>
        <v>500000</v>
      </c>
      <c r="D156" s="45">
        <v>500000</v>
      </c>
      <c r="E156" s="84"/>
      <c r="F156" s="103" t="s">
        <v>400</v>
      </c>
      <c r="G156" s="169"/>
      <c r="H156" s="169"/>
      <c r="I156" s="170"/>
      <c r="J156" s="84"/>
      <c r="K156" s="171">
        <f>490000+10000</f>
        <v>500000</v>
      </c>
      <c r="L156" s="171">
        <v>0</v>
      </c>
      <c r="M156" s="89">
        <v>100</v>
      </c>
      <c r="N156" s="26" t="s">
        <v>12</v>
      </c>
      <c r="O156" s="190"/>
    </row>
    <row r="157" spans="1:15" s="172" customFormat="1" ht="51.75" x14ac:dyDescent="0.2">
      <c r="A157" s="82"/>
      <c r="B157" s="19" t="s">
        <v>427</v>
      </c>
      <c r="C157" s="45">
        <f>D157</f>
        <v>800000</v>
      </c>
      <c r="D157" s="45">
        <v>800000</v>
      </c>
      <c r="E157" s="84"/>
      <c r="F157" s="103" t="s">
        <v>197</v>
      </c>
      <c r="G157" s="169"/>
      <c r="H157" s="169"/>
      <c r="I157" s="170"/>
      <c r="J157" s="84"/>
      <c r="K157" s="171">
        <f>323000+50000+30000+30000+30000+30000+30000+30000+30000+14000+1000+5000+10000+1600+10000+5000+1000+10000+5000+4900+5000+10000+5000+30000+14000+5000+10000+9000+5000+10000+15000+15000</f>
        <v>783500</v>
      </c>
      <c r="L157" s="171">
        <f>D157-K157</f>
        <v>16500</v>
      </c>
      <c r="M157" s="89">
        <f>K157*100/D157</f>
        <v>97.9375</v>
      </c>
      <c r="N157" s="87" t="s">
        <v>398</v>
      </c>
    </row>
    <row r="158" spans="1:15" s="172" customFormat="1" ht="39" customHeight="1" x14ac:dyDescent="0.3">
      <c r="A158" s="82"/>
      <c r="B158" s="226" t="s">
        <v>428</v>
      </c>
      <c r="C158" s="45">
        <f>D158+E158</f>
        <v>450000</v>
      </c>
      <c r="D158" s="45"/>
      <c r="E158" s="84">
        <v>450000</v>
      </c>
      <c r="F158" s="103" t="s">
        <v>197</v>
      </c>
      <c r="G158" s="169"/>
      <c r="H158" s="87" t="s">
        <v>742</v>
      </c>
      <c r="I158" s="170"/>
      <c r="J158" s="84"/>
      <c r="K158" s="171">
        <v>450000</v>
      </c>
      <c r="L158" s="171">
        <f>E158-K158</f>
        <v>0</v>
      </c>
      <c r="M158" s="89">
        <f>K158*100/E158</f>
        <v>100</v>
      </c>
      <c r="N158" s="87" t="s">
        <v>38</v>
      </c>
    </row>
    <row r="159" spans="1:15" s="172" customFormat="1" ht="40.5" customHeight="1" x14ac:dyDescent="0.3">
      <c r="A159" s="82"/>
      <c r="B159" s="226" t="s">
        <v>429</v>
      </c>
      <c r="C159" s="45">
        <f t="shared" ref="C159:C164" si="80">D159+E159</f>
        <v>450000</v>
      </c>
      <c r="D159" s="45">
        <v>394500</v>
      </c>
      <c r="E159" s="84">
        <f>E162</f>
        <v>55500</v>
      </c>
      <c r="F159" s="86" t="s">
        <v>400</v>
      </c>
      <c r="G159" s="169"/>
      <c r="H159" s="169"/>
      <c r="I159" s="170"/>
      <c r="J159" s="84"/>
      <c r="K159" s="171">
        <f>K160+K161+K162</f>
        <v>450000</v>
      </c>
      <c r="L159" s="171">
        <f>C159-K159</f>
        <v>0</v>
      </c>
      <c r="M159" s="89">
        <f>K159*100/C159</f>
        <v>100</v>
      </c>
      <c r="N159" s="87" t="s">
        <v>7</v>
      </c>
    </row>
    <row r="160" spans="1:15" s="172" customFormat="1" ht="23.25" hidden="1" customHeight="1" x14ac:dyDescent="0.3">
      <c r="A160" s="82"/>
      <c r="B160" s="304" t="s">
        <v>606</v>
      </c>
      <c r="C160" s="45"/>
      <c r="D160" s="45">
        <v>386700</v>
      </c>
      <c r="E160" s="84"/>
      <c r="F160" s="103"/>
      <c r="G160" s="169"/>
      <c r="H160" s="169"/>
      <c r="I160" s="170"/>
      <c r="J160" s="84"/>
      <c r="K160" s="171">
        <v>386700</v>
      </c>
      <c r="L160" s="171">
        <f>D160-K160</f>
        <v>0</v>
      </c>
      <c r="M160" s="89">
        <f>K160*100/D160</f>
        <v>100</v>
      </c>
      <c r="N160" s="87"/>
    </row>
    <row r="161" spans="1:18" s="172" customFormat="1" ht="18.75" hidden="1" customHeight="1" x14ac:dyDescent="0.3">
      <c r="A161" s="82"/>
      <c r="B161" s="304" t="s">
        <v>607</v>
      </c>
      <c r="C161" s="45"/>
      <c r="D161" s="45">
        <v>7800</v>
      </c>
      <c r="E161" s="84"/>
      <c r="F161" s="103"/>
      <c r="G161" s="169"/>
      <c r="H161" s="169"/>
      <c r="I161" s="170"/>
      <c r="J161" s="84"/>
      <c r="K161" s="171">
        <v>7800</v>
      </c>
      <c r="L161" s="171">
        <f>D161-K161</f>
        <v>0</v>
      </c>
      <c r="M161" s="89">
        <f>K161*100/D161</f>
        <v>100</v>
      </c>
      <c r="N161" s="87"/>
    </row>
    <row r="162" spans="1:18" s="172" customFormat="1" ht="37.5" hidden="1" x14ac:dyDescent="0.3">
      <c r="A162" s="82"/>
      <c r="B162" s="304" t="s">
        <v>608</v>
      </c>
      <c r="C162" s="45"/>
      <c r="D162" s="45"/>
      <c r="E162" s="84">
        <v>55500</v>
      </c>
      <c r="F162" s="103"/>
      <c r="G162" s="169" t="s">
        <v>610</v>
      </c>
      <c r="H162" s="87" t="s">
        <v>611</v>
      </c>
      <c r="I162" s="170">
        <v>55500</v>
      </c>
      <c r="J162" s="84"/>
      <c r="K162" s="171">
        <v>55500</v>
      </c>
      <c r="L162" s="171">
        <f>E162-K162</f>
        <v>0</v>
      </c>
      <c r="M162" s="89">
        <f>K162*100/E162</f>
        <v>100</v>
      </c>
      <c r="N162" s="87"/>
    </row>
    <row r="163" spans="1:18" s="172" customFormat="1" ht="53.25" customHeight="1" x14ac:dyDescent="0.2">
      <c r="A163" s="82"/>
      <c r="B163" s="227" t="s">
        <v>430</v>
      </c>
      <c r="C163" s="45">
        <f t="shared" si="80"/>
        <v>4000000</v>
      </c>
      <c r="D163" s="45"/>
      <c r="E163" s="84">
        <v>4000000</v>
      </c>
      <c r="F163" s="103" t="s">
        <v>197</v>
      </c>
      <c r="G163" s="169" t="s">
        <v>685</v>
      </c>
      <c r="H163" s="87" t="s">
        <v>715</v>
      </c>
      <c r="I163" s="170">
        <v>3998000</v>
      </c>
      <c r="J163" s="170">
        <f>C163-I163</f>
        <v>2000</v>
      </c>
      <c r="K163" s="171">
        <v>0</v>
      </c>
      <c r="L163" s="171">
        <f>E163-K163</f>
        <v>4000000</v>
      </c>
      <c r="M163" s="89">
        <f>K163*100/E163</f>
        <v>0</v>
      </c>
      <c r="N163" s="26" t="s">
        <v>31</v>
      </c>
    </row>
    <row r="164" spans="1:18" s="172" customFormat="1" ht="49.5" customHeight="1" x14ac:dyDescent="0.2">
      <c r="A164" s="82"/>
      <c r="B164" s="227" t="s">
        <v>431</v>
      </c>
      <c r="C164" s="45">
        <f t="shared" si="80"/>
        <v>1490000</v>
      </c>
      <c r="D164" s="45"/>
      <c r="E164" s="84">
        <v>1490000</v>
      </c>
      <c r="F164" s="86" t="s">
        <v>197</v>
      </c>
      <c r="G164" s="169" t="s">
        <v>686</v>
      </c>
      <c r="H164" s="87" t="s">
        <v>714</v>
      </c>
      <c r="I164" s="170">
        <v>890043</v>
      </c>
      <c r="J164" s="170">
        <f>C164-I164</f>
        <v>599957</v>
      </c>
      <c r="K164" s="171">
        <v>0</v>
      </c>
      <c r="L164" s="171">
        <f>E164-K164</f>
        <v>1490000</v>
      </c>
      <c r="M164" s="89">
        <f>K164*100/E164</f>
        <v>0</v>
      </c>
      <c r="N164" s="26" t="s">
        <v>31</v>
      </c>
    </row>
    <row r="165" spans="1:18" s="172" customFormat="1" ht="35.25" customHeight="1" x14ac:dyDescent="0.2">
      <c r="A165" s="82"/>
      <c r="B165" s="227" t="s">
        <v>443</v>
      </c>
      <c r="C165" s="45">
        <v>470000</v>
      </c>
      <c r="D165" s="45">
        <v>470000</v>
      </c>
      <c r="E165" s="84"/>
      <c r="F165" s="86" t="s">
        <v>400</v>
      </c>
      <c r="G165" s="169"/>
      <c r="H165" s="169"/>
      <c r="I165" s="170"/>
      <c r="J165" s="84"/>
      <c r="K165" s="171">
        <v>470000</v>
      </c>
      <c r="L165" s="171">
        <f>D165-K165</f>
        <v>0</v>
      </c>
      <c r="M165" s="89">
        <f>K165*100/D165</f>
        <v>100</v>
      </c>
      <c r="N165" s="26" t="s">
        <v>59</v>
      </c>
    </row>
    <row r="166" spans="1:18" ht="21" x14ac:dyDescent="0.35">
      <c r="A166" s="8"/>
      <c r="B166" s="53" t="s">
        <v>114</v>
      </c>
      <c r="C166" s="140">
        <f>C8+C115+C130+C140+C154+C155</f>
        <v>184788300</v>
      </c>
      <c r="D166" s="140">
        <f>D8+D115+D130+D140+D154+D155</f>
        <v>49526600</v>
      </c>
      <c r="E166" s="140">
        <f>E8+E115+E130+E140+E154+E155</f>
        <v>135261700</v>
      </c>
      <c r="F166" s="141"/>
      <c r="G166" s="162"/>
      <c r="H166" s="162"/>
      <c r="I166" s="142">
        <f>I8+I115+I130+I140+I154</f>
        <v>128864715.7</v>
      </c>
      <c r="J166" s="142">
        <f>J8+J115+J130+J140+J154+J155</f>
        <v>917441.30000000075</v>
      </c>
      <c r="K166" s="142">
        <f>K8+K115+K130+K140+K154+K155</f>
        <v>135627378.20999998</v>
      </c>
      <c r="L166" s="142">
        <f>L8+L115+L130+L140+L154+L155</f>
        <v>50895437.490000002</v>
      </c>
      <c r="M166" s="143">
        <f>K166*100/O7</f>
        <v>73.521606799001106</v>
      </c>
      <c r="N166" s="53"/>
    </row>
    <row r="169" spans="1:18" ht="15" x14ac:dyDescent="0.25">
      <c r="D169" s="438"/>
    </row>
    <row r="170" spans="1:18" x14ac:dyDescent="0.2">
      <c r="R170" s="144"/>
    </row>
    <row r="172" spans="1:18" x14ac:dyDescent="0.2">
      <c r="Q172" s="144">
        <f>P6+R6</f>
        <v>184472815.69999999</v>
      </c>
    </row>
  </sheetData>
  <mergeCells count="44">
    <mergeCell ref="G66:G67"/>
    <mergeCell ref="A142:B142"/>
    <mergeCell ref="A132:B132"/>
    <mergeCell ref="A136:B136"/>
    <mergeCell ref="A138:B138"/>
    <mergeCell ref="A130:B130"/>
    <mergeCell ref="A131:B131"/>
    <mergeCell ref="A140:B140"/>
    <mergeCell ref="A141:B141"/>
    <mergeCell ref="A127:B127"/>
    <mergeCell ref="A97:B97"/>
    <mergeCell ref="A103:B103"/>
    <mergeCell ref="A107:B107"/>
    <mergeCell ref="A110:B110"/>
    <mergeCell ref="A113:B113"/>
    <mergeCell ref="A117:B117"/>
    <mergeCell ref="A106:B106"/>
    <mergeCell ref="A109:B109"/>
    <mergeCell ref="A115:B115"/>
    <mergeCell ref="A116:B116"/>
    <mergeCell ref="A1:N1"/>
    <mergeCell ref="A2:N2"/>
    <mergeCell ref="A3:N3"/>
    <mergeCell ref="A5:A6"/>
    <mergeCell ref="B5:B6"/>
    <mergeCell ref="K5:M5"/>
    <mergeCell ref="C5:E5"/>
    <mergeCell ref="N5:N6"/>
    <mergeCell ref="F5:J5"/>
    <mergeCell ref="H4:N4"/>
    <mergeCell ref="A8:B8"/>
    <mergeCell ref="A7:B7"/>
    <mergeCell ref="A9:B9"/>
    <mergeCell ref="A40:B40"/>
    <mergeCell ref="A79:B79"/>
    <mergeCell ref="A96:B96"/>
    <mergeCell ref="A82:B82"/>
    <mergeCell ref="A10:B10"/>
    <mergeCell ref="A31:B31"/>
    <mergeCell ref="A34:B34"/>
    <mergeCell ref="A41:B41"/>
    <mergeCell ref="A58:B58"/>
    <mergeCell ref="A75:B75"/>
    <mergeCell ref="A80:B80"/>
  </mergeCells>
  <pageMargins left="0.19685039370078741" right="0" top="0.19685039370078741" bottom="0" header="0.19685039370078741" footer="0.11811023622047245"/>
  <pageSetup paperSize="9" scale="7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zoomScale="90" zoomScaleNormal="90" workbookViewId="0">
      <pane xSplit="7" ySplit="8" topLeftCell="H9" activePane="bottomRight" state="frozen"/>
      <selection pane="topRight" activeCell="G1" sqref="G1"/>
      <selection pane="bottomLeft" activeCell="A8" sqref="A8"/>
      <selection pane="bottomRight" activeCell="B5" sqref="B5:B6"/>
    </sheetView>
  </sheetViews>
  <sheetFormatPr defaultRowHeight="14.25" x14ac:dyDescent="0.2"/>
  <cols>
    <col min="1" max="1" width="3" style="1" customWidth="1"/>
    <col min="2" max="2" width="37.625" style="1" customWidth="1"/>
    <col min="3" max="3" width="12.25" style="1" customWidth="1"/>
    <col min="4" max="4" width="12.625" style="1" customWidth="1"/>
    <col min="5" max="5" width="12.125" style="1" customWidth="1"/>
    <col min="6" max="6" width="9.875" style="1" customWidth="1"/>
    <col min="7" max="7" width="9.5" style="1" customWidth="1"/>
    <col min="8" max="8" width="10.375" style="1" customWidth="1"/>
    <col min="9" max="9" width="11.875" style="1" customWidth="1"/>
    <col min="10" max="10" width="10.125" style="1" customWidth="1"/>
    <col min="11" max="11" width="11.875" style="1" customWidth="1"/>
    <col min="12" max="12" width="12" style="1" customWidth="1"/>
    <col min="13" max="13" width="6.625" style="1" customWidth="1"/>
    <col min="14" max="15" width="14.375" style="1" customWidth="1"/>
    <col min="16" max="16" width="14.125" style="1" customWidth="1"/>
    <col min="17" max="17" width="9" style="1" customWidth="1"/>
    <col min="18" max="18" width="14.125" style="1" customWidth="1"/>
    <col min="19" max="19" width="14.125" style="1" bestFit="1" customWidth="1"/>
    <col min="20" max="16384" width="9" style="1"/>
  </cols>
  <sheetData>
    <row r="1" spans="1:19" ht="21" customHeight="1" x14ac:dyDescent="0.35">
      <c r="A1" s="488" t="s">
        <v>142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1:19" ht="18" customHeight="1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</row>
    <row r="3" spans="1:19" ht="22.5" customHeight="1" x14ac:dyDescent="0.35">
      <c r="A3" s="488" t="s">
        <v>116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</row>
    <row r="4" spans="1:19" ht="21" x14ac:dyDescent="0.45">
      <c r="J4" s="494" t="s">
        <v>780</v>
      </c>
      <c r="K4" s="494"/>
      <c r="L4" s="494"/>
      <c r="M4" s="494"/>
      <c r="N4" s="494"/>
      <c r="O4" s="167"/>
      <c r="P4" s="167"/>
    </row>
    <row r="5" spans="1:19" ht="19.5" customHeight="1" x14ac:dyDescent="0.2">
      <c r="A5" s="489" t="s">
        <v>78</v>
      </c>
      <c r="B5" s="489" t="s">
        <v>79</v>
      </c>
      <c r="C5" s="489" t="s">
        <v>80</v>
      </c>
      <c r="D5" s="489"/>
      <c r="E5" s="489"/>
      <c r="F5" s="491" t="s">
        <v>192</v>
      </c>
      <c r="G5" s="492"/>
      <c r="H5" s="492"/>
      <c r="I5" s="492"/>
      <c r="J5" s="493"/>
      <c r="K5" s="489" t="s">
        <v>74</v>
      </c>
      <c r="L5" s="489"/>
      <c r="M5" s="489"/>
      <c r="N5" s="490" t="s">
        <v>81</v>
      </c>
      <c r="O5" s="2"/>
    </row>
    <row r="6" spans="1:19" ht="40.5" customHeight="1" x14ac:dyDescent="0.2">
      <c r="A6" s="489"/>
      <c r="B6" s="489"/>
      <c r="C6" s="47" t="s">
        <v>114</v>
      </c>
      <c r="D6" s="48" t="s">
        <v>82</v>
      </c>
      <c r="E6" s="48" t="s">
        <v>83</v>
      </c>
      <c r="F6" s="49" t="s">
        <v>196</v>
      </c>
      <c r="G6" s="50" t="s">
        <v>73</v>
      </c>
      <c r="H6" s="49" t="s">
        <v>257</v>
      </c>
      <c r="I6" s="49" t="s">
        <v>84</v>
      </c>
      <c r="J6" s="49" t="s">
        <v>302</v>
      </c>
      <c r="K6" s="50" t="s">
        <v>258</v>
      </c>
      <c r="L6" s="50" t="s">
        <v>75</v>
      </c>
      <c r="M6" s="50" t="s">
        <v>76</v>
      </c>
      <c r="N6" s="490"/>
      <c r="O6" s="2" t="s">
        <v>82</v>
      </c>
      <c r="P6" s="307" t="s">
        <v>83</v>
      </c>
    </row>
    <row r="7" spans="1:19" ht="21" customHeight="1" x14ac:dyDescent="0.3">
      <c r="A7" s="50"/>
      <c r="B7" s="50" t="s">
        <v>143</v>
      </c>
      <c r="C7" s="51">
        <f>D7+E7</f>
        <v>93962000</v>
      </c>
      <c r="D7" s="52">
        <f>D8+D38+D47</f>
        <v>74923700</v>
      </c>
      <c r="E7" s="52">
        <f>E8+E38+E47</f>
        <v>19038300</v>
      </c>
      <c r="F7" s="52"/>
      <c r="G7" s="53"/>
      <c r="H7" s="53"/>
      <c r="I7" s="52">
        <f>I8+I38+I47</f>
        <v>74166151</v>
      </c>
      <c r="J7" s="52">
        <f>J8+J38+J47</f>
        <v>757549</v>
      </c>
      <c r="K7" s="54">
        <f>K8+K38+K47</f>
        <v>36527191.549999997</v>
      </c>
      <c r="L7" s="54">
        <f>C7-K7</f>
        <v>57434808.450000003</v>
      </c>
      <c r="M7" s="55">
        <f>K7*100/C7</f>
        <v>38.874429609842274</v>
      </c>
      <c r="N7" s="56"/>
      <c r="O7" s="308">
        <f>K16+K23+K30+K34+K36+K39+K48</f>
        <v>33118751</v>
      </c>
      <c r="P7" s="144">
        <f>K11+K15+K22+K25+K26+K27+K29+K32+K33+K41+K50</f>
        <v>3408440.5500000003</v>
      </c>
      <c r="S7" s="144"/>
    </row>
    <row r="8" spans="1:19" ht="39" customHeight="1" x14ac:dyDescent="0.35">
      <c r="A8" s="57"/>
      <c r="B8" s="58" t="s">
        <v>85</v>
      </c>
      <c r="C8" s="52">
        <f>C9+C34+C36</f>
        <v>38467300</v>
      </c>
      <c r="D8" s="52">
        <f t="shared" ref="D8:E8" si="0">D9+D34+D36</f>
        <v>27829000</v>
      </c>
      <c r="E8" s="52">
        <f t="shared" si="0"/>
        <v>10638300</v>
      </c>
      <c r="F8" s="64" t="s">
        <v>261</v>
      </c>
      <c r="G8" s="59"/>
      <c r="H8" s="59"/>
      <c r="I8" s="59">
        <f>I9+I34+I36</f>
        <v>27661000</v>
      </c>
      <c r="J8" s="59">
        <f>J9+J34+J36</f>
        <v>168000</v>
      </c>
      <c r="K8" s="52">
        <f>K9+K34+K36</f>
        <v>22920726.620000001</v>
      </c>
      <c r="L8" s="52">
        <f>L9+L34+L36</f>
        <v>15546573.379999999</v>
      </c>
      <c r="M8" s="59">
        <f>K8*100/C8</f>
        <v>59.584963384485008</v>
      </c>
      <c r="N8" s="57"/>
      <c r="O8" s="309">
        <f>O7*100/D7</f>
        <v>44.203304161433564</v>
      </c>
      <c r="P8" s="146">
        <f>P7*100/E7</f>
        <v>17.903071965459102</v>
      </c>
      <c r="R8" s="144">
        <f>O7+P7</f>
        <v>36527191.549999997</v>
      </c>
    </row>
    <row r="9" spans="1:19" ht="39.75" customHeight="1" x14ac:dyDescent="0.35">
      <c r="A9" s="60">
        <v>1</v>
      </c>
      <c r="B9" s="61" t="s">
        <v>86</v>
      </c>
      <c r="C9" s="52">
        <f>C10+C26+C27+C28+C32+C33</f>
        <v>11567300</v>
      </c>
      <c r="D9" s="52">
        <f t="shared" ref="D9:E9" si="1">D10+D26+D27+D28+D32+D33</f>
        <v>929000</v>
      </c>
      <c r="E9" s="52">
        <f t="shared" si="1"/>
        <v>10638300</v>
      </c>
      <c r="F9" s="62"/>
      <c r="G9" s="59"/>
      <c r="H9" s="59"/>
      <c r="I9" s="59">
        <f>I10+I26+I27+I28+I32+I33</f>
        <v>926000</v>
      </c>
      <c r="J9" s="59">
        <f>J10+J26+J27+J28+J32+J33</f>
        <v>3000</v>
      </c>
      <c r="K9" s="52">
        <f>K10+K26+K27+K28+K32+K33</f>
        <v>3040726.62</v>
      </c>
      <c r="L9" s="52">
        <f>L10+L26+L27+L28+L32+L33</f>
        <v>8526573.379999999</v>
      </c>
      <c r="M9" s="57"/>
      <c r="N9" s="9" t="s">
        <v>140</v>
      </c>
      <c r="O9" s="3"/>
    </row>
    <row r="10" spans="1:19" ht="25.5" customHeight="1" x14ac:dyDescent="0.35">
      <c r="A10" s="31"/>
      <c r="B10" s="8" t="s">
        <v>87</v>
      </c>
      <c r="C10" s="10">
        <f>C11+C14+C21+C25</f>
        <v>4972960</v>
      </c>
      <c r="D10" s="10">
        <f t="shared" ref="D10:E10" si="2">D11+D14+D21+D25</f>
        <v>889000</v>
      </c>
      <c r="E10" s="10">
        <f t="shared" si="2"/>
        <v>4083960</v>
      </c>
      <c r="F10" s="10"/>
      <c r="G10" s="7"/>
      <c r="H10" s="7"/>
      <c r="I10" s="7">
        <f>I11+I14+I21+I25</f>
        <v>886000</v>
      </c>
      <c r="J10" s="7">
        <f>J11+J14+J21+J25</f>
        <v>3000</v>
      </c>
      <c r="K10" s="10">
        <f>K11+K14+K21+K25</f>
        <v>2277180.62</v>
      </c>
      <c r="L10" s="10">
        <f>L11+L14+L21+L25</f>
        <v>2695779.38</v>
      </c>
      <c r="M10" s="156">
        <f>K10*100/C10</f>
        <v>45.791251488047358</v>
      </c>
      <c r="N10" s="63"/>
      <c r="O10" s="3"/>
    </row>
    <row r="11" spans="1:19" ht="24.75" customHeight="1" x14ac:dyDescent="0.35">
      <c r="A11" s="31"/>
      <c r="B11" s="8" t="s">
        <v>88</v>
      </c>
      <c r="C11" s="10">
        <v>693600</v>
      </c>
      <c r="D11" s="10">
        <v>0</v>
      </c>
      <c r="E11" s="10">
        <v>693600</v>
      </c>
      <c r="F11" s="10"/>
      <c r="G11" s="7"/>
      <c r="H11" s="7"/>
      <c r="I11" s="7"/>
      <c r="J11" s="7">
        <f>J12+J13</f>
        <v>0</v>
      </c>
      <c r="K11" s="7">
        <f>K12+K13</f>
        <v>424538</v>
      </c>
      <c r="L11" s="7">
        <f>E11-K11</f>
        <v>269062</v>
      </c>
      <c r="M11" s="10">
        <f>K11*100/E11</f>
        <v>61.207900807381776</v>
      </c>
      <c r="N11" s="9" t="s">
        <v>118</v>
      </c>
      <c r="O11" s="3"/>
    </row>
    <row r="12" spans="1:19" ht="39" hidden="1" customHeight="1" x14ac:dyDescent="0.35">
      <c r="A12" s="31"/>
      <c r="B12" s="6" t="s">
        <v>89</v>
      </c>
      <c r="C12" s="10"/>
      <c r="D12" s="10"/>
      <c r="E12" s="10"/>
      <c r="F12" s="10"/>
      <c r="G12" s="7"/>
      <c r="H12" s="7"/>
      <c r="I12" s="7"/>
      <c r="J12" s="7"/>
      <c r="K12" s="7">
        <f>41400+2500+12000+6400+27000+3000+4238</f>
        <v>96538</v>
      </c>
      <c r="L12" s="7"/>
      <c r="M12" s="161"/>
      <c r="N12" s="63"/>
      <c r="O12" s="3"/>
    </row>
    <row r="13" spans="1:19" ht="38.25" hidden="1" x14ac:dyDescent="0.35">
      <c r="A13" s="31"/>
      <c r="B13" s="6" t="s">
        <v>90</v>
      </c>
      <c r="C13" s="10"/>
      <c r="D13" s="10"/>
      <c r="E13" s="10"/>
      <c r="F13" s="10"/>
      <c r="G13" s="7"/>
      <c r="H13" s="7"/>
      <c r="I13" s="7"/>
      <c r="J13" s="7"/>
      <c r="K13" s="7">
        <v>328000</v>
      </c>
      <c r="L13" s="7"/>
      <c r="M13" s="8"/>
      <c r="N13" s="63"/>
      <c r="O13" s="3"/>
    </row>
    <row r="14" spans="1:19" ht="39" customHeight="1" x14ac:dyDescent="0.35">
      <c r="A14" s="31"/>
      <c r="B14" s="6" t="s">
        <v>91</v>
      </c>
      <c r="C14" s="10">
        <f>D14+E14</f>
        <v>3186660</v>
      </c>
      <c r="D14" s="10">
        <f>D16</f>
        <v>790000</v>
      </c>
      <c r="E14" s="10">
        <f>E15</f>
        <v>2396660</v>
      </c>
      <c r="F14" s="10"/>
      <c r="G14" s="7"/>
      <c r="H14" s="7"/>
      <c r="I14" s="7">
        <f>I15+I16</f>
        <v>788500</v>
      </c>
      <c r="J14" s="7">
        <f>J15+J16</f>
        <v>1500</v>
      </c>
      <c r="K14" s="7">
        <f>K15+K16</f>
        <v>1184748.6200000001</v>
      </c>
      <c r="L14" s="7">
        <f>C14-K14</f>
        <v>2001911.38</v>
      </c>
      <c r="M14" s="156">
        <f>K14*100/C14</f>
        <v>37.178381753936726</v>
      </c>
      <c r="N14" s="9" t="s">
        <v>119</v>
      </c>
      <c r="O14" s="3"/>
    </row>
    <row r="15" spans="1:19" ht="21" x14ac:dyDescent="0.35">
      <c r="A15" s="31"/>
      <c r="B15" s="6" t="s">
        <v>137</v>
      </c>
      <c r="C15" s="10"/>
      <c r="D15" s="10"/>
      <c r="E15" s="10">
        <v>2396660</v>
      </c>
      <c r="F15" s="10"/>
      <c r="G15" s="7"/>
      <c r="H15" s="7"/>
      <c r="I15" s="7"/>
      <c r="J15" s="7"/>
      <c r="K15" s="7">
        <f>52800+41250+27200+74500+44000+90000+19360+24500+11417.5+11221.12</f>
        <v>396248.62</v>
      </c>
      <c r="L15" s="7">
        <f>E15-K15</f>
        <v>2000411.38</v>
      </c>
      <c r="M15" s="7">
        <f>K15*100/E15</f>
        <v>16.533368103944657</v>
      </c>
      <c r="N15" s="9"/>
      <c r="O15" s="3"/>
    </row>
    <row r="16" spans="1:19" ht="21" x14ac:dyDescent="0.35">
      <c r="A16" s="31"/>
      <c r="B16" s="6" t="s">
        <v>139</v>
      </c>
      <c r="C16" s="10"/>
      <c r="D16" s="10">
        <f>D17+D18+D19+D20</f>
        <v>790000</v>
      </c>
      <c r="E16" s="10"/>
      <c r="F16" s="10"/>
      <c r="G16" s="7"/>
      <c r="H16" s="7"/>
      <c r="I16" s="7">
        <f>I17+I18+I19+I20</f>
        <v>788500</v>
      </c>
      <c r="J16" s="7">
        <f>D16-I16</f>
        <v>1500</v>
      </c>
      <c r="K16" s="7">
        <f>K17+K18+K19+K20</f>
        <v>788500</v>
      </c>
      <c r="L16" s="7">
        <v>0</v>
      </c>
      <c r="M16" s="7">
        <v>100</v>
      </c>
      <c r="N16" s="9"/>
      <c r="O16" s="3"/>
    </row>
    <row r="17" spans="1:15" ht="48.75" x14ac:dyDescent="0.35">
      <c r="A17" s="31"/>
      <c r="B17" s="6" t="s">
        <v>133</v>
      </c>
      <c r="C17" s="10"/>
      <c r="D17" s="10">
        <v>450000</v>
      </c>
      <c r="E17" s="10"/>
      <c r="F17" s="64" t="s">
        <v>400</v>
      </c>
      <c r="G17" s="62" t="s">
        <v>350</v>
      </c>
      <c r="H17" s="159" t="s">
        <v>382</v>
      </c>
      <c r="I17" s="7">
        <v>449500</v>
      </c>
      <c r="J17" s="7">
        <f>D17-I17</f>
        <v>500</v>
      </c>
      <c r="K17" s="7">
        <v>449500</v>
      </c>
      <c r="L17" s="7">
        <v>0</v>
      </c>
      <c r="M17" s="7">
        <f>K17*100/I17</f>
        <v>100</v>
      </c>
      <c r="N17" s="9"/>
      <c r="O17" s="3"/>
    </row>
    <row r="18" spans="1:15" ht="48.75" x14ac:dyDescent="0.35">
      <c r="A18" s="31"/>
      <c r="B18" s="6" t="s">
        <v>134</v>
      </c>
      <c r="C18" s="10"/>
      <c r="D18" s="10">
        <v>50000</v>
      </c>
      <c r="E18" s="10"/>
      <c r="F18" s="64" t="s">
        <v>400</v>
      </c>
      <c r="G18" s="62" t="s">
        <v>349</v>
      </c>
      <c r="H18" s="159" t="s">
        <v>382</v>
      </c>
      <c r="I18" s="7">
        <v>50000</v>
      </c>
      <c r="J18" s="7">
        <f t="shared" ref="J18:J20" si="3">D18-I18</f>
        <v>0</v>
      </c>
      <c r="K18" s="7">
        <v>50000</v>
      </c>
      <c r="L18" s="7">
        <f t="shared" ref="L18" si="4">D18-K18</f>
        <v>0</v>
      </c>
      <c r="M18" s="7">
        <f t="shared" ref="M18:M19" si="5">K18*100/I18</f>
        <v>100</v>
      </c>
      <c r="N18" s="9"/>
      <c r="O18" s="3"/>
    </row>
    <row r="19" spans="1:15" ht="48.75" x14ac:dyDescent="0.35">
      <c r="A19" s="31"/>
      <c r="B19" s="6" t="s">
        <v>135</v>
      </c>
      <c r="C19" s="10"/>
      <c r="D19" s="10">
        <v>170000</v>
      </c>
      <c r="E19" s="10"/>
      <c r="F19" s="64" t="s">
        <v>400</v>
      </c>
      <c r="G19" s="62" t="s">
        <v>349</v>
      </c>
      <c r="H19" s="159" t="s">
        <v>382</v>
      </c>
      <c r="I19" s="7">
        <v>169500</v>
      </c>
      <c r="J19" s="7">
        <f t="shared" si="3"/>
        <v>500</v>
      </c>
      <c r="K19" s="7">
        <v>169500</v>
      </c>
      <c r="L19" s="7">
        <v>0</v>
      </c>
      <c r="M19" s="7">
        <f t="shared" si="5"/>
        <v>100</v>
      </c>
      <c r="N19" s="9"/>
      <c r="O19" s="3"/>
    </row>
    <row r="20" spans="1:15" ht="48.75" x14ac:dyDescent="0.35">
      <c r="A20" s="31"/>
      <c r="B20" s="6" t="s">
        <v>136</v>
      </c>
      <c r="C20" s="10"/>
      <c r="D20" s="10">
        <v>120000</v>
      </c>
      <c r="E20" s="10"/>
      <c r="F20" s="64" t="s">
        <v>400</v>
      </c>
      <c r="G20" s="62" t="s">
        <v>349</v>
      </c>
      <c r="H20" s="159" t="s">
        <v>382</v>
      </c>
      <c r="I20" s="7">
        <v>119500</v>
      </c>
      <c r="J20" s="7">
        <f t="shared" si="3"/>
        <v>500</v>
      </c>
      <c r="K20" s="7">
        <v>119500</v>
      </c>
      <c r="L20" s="7">
        <v>0</v>
      </c>
      <c r="M20" s="7">
        <f>K20*100/I20</f>
        <v>100</v>
      </c>
      <c r="N20" s="9"/>
      <c r="O20" s="3"/>
    </row>
    <row r="21" spans="1:15" ht="21" x14ac:dyDescent="0.35">
      <c r="A21" s="31"/>
      <c r="B21" s="8" t="s">
        <v>92</v>
      </c>
      <c r="C21" s="10">
        <f>D21+E21</f>
        <v>820000</v>
      </c>
      <c r="D21" s="10">
        <f>D23</f>
        <v>99000</v>
      </c>
      <c r="E21" s="10">
        <f>E22</f>
        <v>721000</v>
      </c>
      <c r="F21" s="10"/>
      <c r="G21" s="7"/>
      <c r="H21" s="7"/>
      <c r="I21" s="7">
        <f>I22+I23</f>
        <v>97500</v>
      </c>
      <c r="J21" s="7">
        <f>J22+J23</f>
        <v>1500</v>
      </c>
      <c r="K21" s="7">
        <f>K22+K23</f>
        <v>423850</v>
      </c>
      <c r="L21" s="7">
        <f>C21-K21</f>
        <v>396150</v>
      </c>
      <c r="M21" s="156">
        <f>K21*100/C21</f>
        <v>51.689024390243901</v>
      </c>
      <c r="N21" s="9" t="s">
        <v>120</v>
      </c>
      <c r="O21" s="3"/>
    </row>
    <row r="22" spans="1:15" ht="21" x14ac:dyDescent="0.35">
      <c r="A22" s="31"/>
      <c r="B22" s="6" t="s">
        <v>137</v>
      </c>
      <c r="C22" s="10"/>
      <c r="D22" s="10"/>
      <c r="E22" s="10">
        <v>721000</v>
      </c>
      <c r="F22" s="10"/>
      <c r="G22" s="7"/>
      <c r="H22" s="7"/>
      <c r="I22" s="7"/>
      <c r="J22" s="7"/>
      <c r="K22" s="7">
        <f>70800+20000+10000+87500+66700+20000+1950+24000+1400+4000+20000</f>
        <v>326350</v>
      </c>
      <c r="L22" s="7">
        <f>E22-K22</f>
        <v>394650</v>
      </c>
      <c r="M22" s="156">
        <f>K22*100/E22</f>
        <v>45.263522884882107</v>
      </c>
      <c r="N22" s="9"/>
      <c r="O22" s="3"/>
    </row>
    <row r="23" spans="1:15" ht="21" x14ac:dyDescent="0.35">
      <c r="A23" s="31"/>
      <c r="B23" s="6" t="s">
        <v>139</v>
      </c>
      <c r="C23" s="10"/>
      <c r="D23" s="10">
        <f>D24</f>
        <v>99000</v>
      </c>
      <c r="E23" s="10"/>
      <c r="F23" s="10"/>
      <c r="G23" s="7"/>
      <c r="H23" s="7"/>
      <c r="I23" s="7">
        <f>I24</f>
        <v>97500</v>
      </c>
      <c r="J23" s="7">
        <f>J24</f>
        <v>1500</v>
      </c>
      <c r="K23" s="7">
        <f>K24</f>
        <v>97500</v>
      </c>
      <c r="L23" s="7">
        <v>0</v>
      </c>
      <c r="M23" s="156">
        <v>100</v>
      </c>
      <c r="N23" s="9"/>
      <c r="O23" s="3"/>
    </row>
    <row r="24" spans="1:15" ht="33" x14ac:dyDescent="0.35">
      <c r="A24" s="31"/>
      <c r="B24" s="6" t="s">
        <v>138</v>
      </c>
      <c r="C24" s="10"/>
      <c r="D24" s="10">
        <v>99000</v>
      </c>
      <c r="E24" s="10"/>
      <c r="F24" s="64" t="s">
        <v>400</v>
      </c>
      <c r="G24" s="62" t="s">
        <v>347</v>
      </c>
      <c r="H24" s="64" t="s">
        <v>712</v>
      </c>
      <c r="I24" s="7">
        <v>97500</v>
      </c>
      <c r="J24" s="7">
        <f>D24-I24</f>
        <v>1500</v>
      </c>
      <c r="K24" s="7">
        <v>97500</v>
      </c>
      <c r="L24" s="7">
        <v>0</v>
      </c>
      <c r="M24" s="156">
        <v>100</v>
      </c>
      <c r="N24" s="9"/>
      <c r="O24" s="3"/>
    </row>
    <row r="25" spans="1:15" ht="38.25" customHeight="1" x14ac:dyDescent="0.35">
      <c r="A25" s="31"/>
      <c r="B25" s="6" t="s">
        <v>93</v>
      </c>
      <c r="C25" s="10">
        <v>272700</v>
      </c>
      <c r="D25" s="10"/>
      <c r="E25" s="10">
        <v>272700</v>
      </c>
      <c r="F25" s="10"/>
      <c r="G25" s="7"/>
      <c r="H25" s="7"/>
      <c r="I25" s="7"/>
      <c r="J25" s="7"/>
      <c r="K25" s="7">
        <f>128300+33000+5744+77000</f>
        <v>244044</v>
      </c>
      <c r="L25" s="7">
        <f>C25-K25</f>
        <v>28656</v>
      </c>
      <c r="M25" s="156">
        <f>K25*100/C25</f>
        <v>89.491749174917487</v>
      </c>
      <c r="N25" s="9" t="s">
        <v>140</v>
      </c>
      <c r="O25" s="3"/>
    </row>
    <row r="26" spans="1:15" ht="20.25" customHeight="1" x14ac:dyDescent="0.35">
      <c r="A26" s="31"/>
      <c r="B26" s="8" t="s">
        <v>94</v>
      </c>
      <c r="C26" s="10">
        <f>E26</f>
        <v>200000</v>
      </c>
      <c r="D26" s="10"/>
      <c r="E26" s="10">
        <v>200000</v>
      </c>
      <c r="F26" s="10"/>
      <c r="G26" s="7"/>
      <c r="H26" s="7"/>
      <c r="I26" s="7"/>
      <c r="J26" s="7"/>
      <c r="K26" s="7"/>
      <c r="L26" s="7">
        <f>C26-K26</f>
        <v>200000</v>
      </c>
      <c r="M26" s="10">
        <f>K26*100/C26</f>
        <v>0</v>
      </c>
      <c r="N26" s="9" t="s">
        <v>144</v>
      </c>
      <c r="O26" s="3"/>
    </row>
    <row r="27" spans="1:15" ht="36" customHeight="1" x14ac:dyDescent="0.35">
      <c r="A27" s="31"/>
      <c r="B27" s="6" t="s">
        <v>95</v>
      </c>
      <c r="C27" s="10">
        <f>E27</f>
        <v>250000</v>
      </c>
      <c r="D27" s="10"/>
      <c r="E27" s="10">
        <v>250000</v>
      </c>
      <c r="F27" s="10"/>
      <c r="G27" s="7"/>
      <c r="H27" s="7"/>
      <c r="I27" s="7"/>
      <c r="J27" s="7"/>
      <c r="K27" s="7">
        <f>188100+45000-2050</f>
        <v>231050</v>
      </c>
      <c r="L27" s="7">
        <f t="shared" ref="L27" si="6">C27-K27</f>
        <v>18950</v>
      </c>
      <c r="M27" s="8">
        <f t="shared" ref="M27:M28" si="7">K27*100/C27</f>
        <v>92.42</v>
      </c>
      <c r="N27" s="9" t="s">
        <v>121</v>
      </c>
      <c r="O27" s="3"/>
    </row>
    <row r="28" spans="1:15" ht="36.75" customHeight="1" x14ac:dyDescent="0.35">
      <c r="A28" s="31"/>
      <c r="B28" s="6" t="s">
        <v>96</v>
      </c>
      <c r="C28" s="10">
        <f>D28+E28</f>
        <v>773200</v>
      </c>
      <c r="D28" s="10">
        <f>D30</f>
        <v>40000</v>
      </c>
      <c r="E28" s="10">
        <f>E29</f>
        <v>733200</v>
      </c>
      <c r="F28" s="10"/>
      <c r="G28" s="7"/>
      <c r="H28" s="7"/>
      <c r="I28" s="7">
        <f>I29+I30</f>
        <v>40000</v>
      </c>
      <c r="J28" s="7">
        <f>J29+J30</f>
        <v>0</v>
      </c>
      <c r="K28" s="7">
        <f>K29+K30</f>
        <v>499705</v>
      </c>
      <c r="L28" s="7">
        <f>L29+L30</f>
        <v>273495</v>
      </c>
      <c r="M28" s="156">
        <f t="shared" si="7"/>
        <v>64.628168649767204</v>
      </c>
      <c r="N28" s="9" t="s">
        <v>121</v>
      </c>
      <c r="O28" s="3"/>
    </row>
    <row r="29" spans="1:15" ht="20.25" customHeight="1" x14ac:dyDescent="0.35">
      <c r="A29" s="31"/>
      <c r="B29" s="6" t="s">
        <v>137</v>
      </c>
      <c r="C29" s="10"/>
      <c r="D29" s="10"/>
      <c r="E29" s="10">
        <v>733200</v>
      </c>
      <c r="F29" s="10"/>
      <c r="G29" s="7"/>
      <c r="H29" s="7"/>
      <c r="I29" s="7"/>
      <c r="J29" s="7"/>
      <c r="K29" s="7">
        <f>17600+15000+25000+163000+142750+2400+5880+56200+22650+18000-18775+10000</f>
        <v>459705</v>
      </c>
      <c r="L29" s="7">
        <f>E29-K29</f>
        <v>273495</v>
      </c>
      <c r="M29" s="156">
        <f>K29*100/E29</f>
        <v>62.698445171849428</v>
      </c>
      <c r="N29" s="9"/>
      <c r="O29" s="3"/>
    </row>
    <row r="30" spans="1:15" ht="18.75" customHeight="1" x14ac:dyDescent="0.35">
      <c r="A30" s="31"/>
      <c r="B30" s="6" t="s">
        <v>139</v>
      </c>
      <c r="C30" s="10"/>
      <c r="D30" s="10">
        <f>D31</f>
        <v>40000</v>
      </c>
      <c r="E30" s="10"/>
      <c r="F30" s="10"/>
      <c r="G30" s="7"/>
      <c r="H30" s="7"/>
      <c r="I30" s="7">
        <f>I31</f>
        <v>40000</v>
      </c>
      <c r="J30" s="7">
        <f>J31</f>
        <v>0</v>
      </c>
      <c r="K30" s="7">
        <f>K31</f>
        <v>40000</v>
      </c>
      <c r="L30" s="7">
        <f>D30-K30</f>
        <v>0</v>
      </c>
      <c r="M30" s="10">
        <f>K30*100/D30</f>
        <v>100</v>
      </c>
      <c r="N30" s="9"/>
      <c r="O30" s="3"/>
    </row>
    <row r="31" spans="1:15" ht="34.5" customHeight="1" x14ac:dyDescent="0.35">
      <c r="A31" s="31"/>
      <c r="B31" s="6" t="s">
        <v>141</v>
      </c>
      <c r="C31" s="10"/>
      <c r="D31" s="10">
        <v>40000</v>
      </c>
      <c r="E31" s="10"/>
      <c r="F31" s="62" t="s">
        <v>400</v>
      </c>
      <c r="G31" s="158" t="s">
        <v>380</v>
      </c>
      <c r="H31" s="157" t="s">
        <v>711</v>
      </c>
      <c r="I31" s="7">
        <v>40000</v>
      </c>
      <c r="J31" s="7">
        <f>D31-I31</f>
        <v>0</v>
      </c>
      <c r="K31" s="7">
        <v>40000</v>
      </c>
      <c r="L31" s="7"/>
      <c r="M31" s="8"/>
      <c r="N31" s="9"/>
      <c r="O31" s="3"/>
    </row>
    <row r="32" spans="1:15" ht="21.75" customHeight="1" x14ac:dyDescent="0.35">
      <c r="A32" s="31"/>
      <c r="B32" s="8" t="s">
        <v>97</v>
      </c>
      <c r="C32" s="10">
        <f>E32</f>
        <v>5246252</v>
      </c>
      <c r="D32" s="10"/>
      <c r="E32" s="10">
        <v>5246252</v>
      </c>
      <c r="F32" s="10"/>
      <c r="G32" s="7"/>
      <c r="H32" s="7"/>
      <c r="I32" s="7"/>
      <c r="J32" s="7"/>
      <c r="K32" s="7">
        <v>700</v>
      </c>
      <c r="L32" s="7">
        <f>C32-K32</f>
        <v>5245552</v>
      </c>
      <c r="M32" s="156">
        <f>K32*100/E32</f>
        <v>1.3342858863813633E-2</v>
      </c>
      <c r="N32" s="9" t="s">
        <v>122</v>
      </c>
      <c r="O32" s="3"/>
    </row>
    <row r="33" spans="1:16" ht="23.25" customHeight="1" x14ac:dyDescent="0.35">
      <c r="A33" s="31"/>
      <c r="B33" s="8" t="s">
        <v>98</v>
      </c>
      <c r="C33" s="10">
        <v>124888</v>
      </c>
      <c r="D33" s="10"/>
      <c r="E33" s="10">
        <v>124888</v>
      </c>
      <c r="F33" s="10"/>
      <c r="G33" s="7"/>
      <c r="H33" s="7"/>
      <c r="I33" s="7"/>
      <c r="J33" s="7"/>
      <c r="K33" s="7">
        <f>9500+4390+18201</f>
        <v>32091</v>
      </c>
      <c r="L33" s="7">
        <f>C33-K33</f>
        <v>92797</v>
      </c>
      <c r="M33" s="156">
        <f>K33*100/E33</f>
        <v>25.695823457818204</v>
      </c>
      <c r="N33" s="9" t="s">
        <v>121</v>
      </c>
      <c r="O33" s="3"/>
    </row>
    <row r="34" spans="1:16" ht="38.25" x14ac:dyDescent="0.35">
      <c r="A34" s="60">
        <v>2</v>
      </c>
      <c r="B34" s="58" t="s">
        <v>117</v>
      </c>
      <c r="C34" s="52">
        <f>D34</f>
        <v>20000000</v>
      </c>
      <c r="D34" s="52">
        <f>D35</f>
        <v>20000000</v>
      </c>
      <c r="E34" s="52">
        <f>E35</f>
        <v>0</v>
      </c>
      <c r="F34" s="62"/>
      <c r="G34" s="59"/>
      <c r="H34" s="59"/>
      <c r="I34" s="59">
        <f>I35</f>
        <v>19880000</v>
      </c>
      <c r="J34" s="59">
        <f>J35</f>
        <v>120000</v>
      </c>
      <c r="K34" s="59">
        <f>K35</f>
        <v>19880000</v>
      </c>
      <c r="L34" s="59">
        <f>D34-K34</f>
        <v>120000</v>
      </c>
      <c r="M34" s="148">
        <v>100</v>
      </c>
      <c r="N34" s="53"/>
      <c r="O34" s="3"/>
      <c r="P34" s="144"/>
    </row>
    <row r="35" spans="1:16" ht="77.25" customHeight="1" x14ac:dyDescent="0.35">
      <c r="A35" s="31"/>
      <c r="B35" s="315" t="s">
        <v>259</v>
      </c>
      <c r="C35" s="10"/>
      <c r="D35" s="10">
        <v>20000000</v>
      </c>
      <c r="E35" s="10">
        <v>0</v>
      </c>
      <c r="F35" s="64" t="s">
        <v>369</v>
      </c>
      <c r="G35" s="147" t="s">
        <v>348</v>
      </c>
      <c r="H35" s="434" t="s">
        <v>379</v>
      </c>
      <c r="I35" s="7">
        <v>19880000</v>
      </c>
      <c r="J35" s="7">
        <f>D35-I35</f>
        <v>120000</v>
      </c>
      <c r="K35" s="7">
        <f>2584400+5367600+11928000</f>
        <v>19880000</v>
      </c>
      <c r="L35" s="7">
        <f>D35-K35</f>
        <v>120000</v>
      </c>
      <c r="M35" s="7">
        <f>K35*100/I35</f>
        <v>100</v>
      </c>
      <c r="N35" s="65" t="s">
        <v>123</v>
      </c>
      <c r="O35" s="3"/>
    </row>
    <row r="36" spans="1:16" ht="40.5" customHeight="1" x14ac:dyDescent="0.35">
      <c r="A36" s="60">
        <v>3</v>
      </c>
      <c r="B36" s="58" t="s">
        <v>99</v>
      </c>
      <c r="C36" s="52">
        <f>D36</f>
        <v>6900000</v>
      </c>
      <c r="D36" s="52">
        <f>D37</f>
        <v>6900000</v>
      </c>
      <c r="E36" s="52">
        <f>E37</f>
        <v>0</v>
      </c>
      <c r="F36" s="62"/>
      <c r="G36" s="59"/>
      <c r="H36" s="59"/>
      <c r="I36" s="59">
        <f>I37</f>
        <v>6855000</v>
      </c>
      <c r="J36" s="59">
        <f>J37</f>
        <v>45000</v>
      </c>
      <c r="K36" s="59">
        <f>K37</f>
        <v>0</v>
      </c>
      <c r="L36" s="59">
        <f>D36-K36</f>
        <v>6900000</v>
      </c>
      <c r="M36" s="59">
        <f>K36*100/D36</f>
        <v>0</v>
      </c>
      <c r="N36" s="53"/>
      <c r="O36" s="3"/>
    </row>
    <row r="37" spans="1:16" ht="66" customHeight="1" x14ac:dyDescent="0.35">
      <c r="A37" s="31"/>
      <c r="B37" s="6" t="s">
        <v>100</v>
      </c>
      <c r="C37" s="10"/>
      <c r="D37" s="10">
        <v>6900000</v>
      </c>
      <c r="E37" s="10">
        <v>0</v>
      </c>
      <c r="F37" s="64" t="s">
        <v>369</v>
      </c>
      <c r="G37" s="62" t="s">
        <v>344</v>
      </c>
      <c r="H37" s="64" t="s">
        <v>710</v>
      </c>
      <c r="I37" s="7">
        <v>6855000</v>
      </c>
      <c r="J37" s="7">
        <f>D37-I37</f>
        <v>45000</v>
      </c>
      <c r="K37" s="7">
        <v>0</v>
      </c>
      <c r="L37" s="7">
        <f>D37-K37</f>
        <v>6900000</v>
      </c>
      <c r="M37" s="7">
        <f>K37*100/I37</f>
        <v>0</v>
      </c>
      <c r="N37" s="65" t="s">
        <v>124</v>
      </c>
      <c r="O37" s="3"/>
    </row>
    <row r="38" spans="1:16" ht="60" customHeight="1" x14ac:dyDescent="0.35">
      <c r="A38" s="31"/>
      <c r="B38" s="58" t="s">
        <v>101</v>
      </c>
      <c r="C38" s="52">
        <f>C39+C41</f>
        <v>10094700</v>
      </c>
      <c r="D38" s="52">
        <f>D39+D41</f>
        <v>2094700</v>
      </c>
      <c r="E38" s="52">
        <f>E39+E41</f>
        <v>8000000</v>
      </c>
      <c r="F38" s="52"/>
      <c r="G38" s="59"/>
      <c r="H38" s="59"/>
      <c r="I38" s="59">
        <f>I39+I41</f>
        <v>1515151</v>
      </c>
      <c r="J38" s="59">
        <f>J39+J41</f>
        <v>579549</v>
      </c>
      <c r="K38" s="52">
        <f>K39+K41</f>
        <v>2463751</v>
      </c>
      <c r="L38" s="52">
        <f>L39+L41</f>
        <v>7051400</v>
      </c>
      <c r="M38" s="148">
        <f>K38*100/C38</f>
        <v>24.406381566564633</v>
      </c>
      <c r="N38" s="63"/>
      <c r="O38" s="3"/>
      <c r="P38" s="144"/>
    </row>
    <row r="39" spans="1:16" ht="57" customHeight="1" x14ac:dyDescent="0.35">
      <c r="A39" s="60">
        <v>4</v>
      </c>
      <c r="B39" s="66" t="s">
        <v>102</v>
      </c>
      <c r="C39" s="52">
        <f>D39</f>
        <v>2094700</v>
      </c>
      <c r="D39" s="52">
        <f>D40</f>
        <v>2094700</v>
      </c>
      <c r="E39" s="52">
        <f>E40</f>
        <v>0</v>
      </c>
      <c r="F39" s="62"/>
      <c r="G39" s="59"/>
      <c r="H39" s="59"/>
      <c r="I39" s="59">
        <f>I40</f>
        <v>1515151</v>
      </c>
      <c r="J39" s="59">
        <f>J40</f>
        <v>579549</v>
      </c>
      <c r="K39" s="59">
        <f>K40</f>
        <v>1515151</v>
      </c>
      <c r="L39" s="59">
        <v>0</v>
      </c>
      <c r="M39" s="59">
        <f>K39*100/I39</f>
        <v>100</v>
      </c>
      <c r="N39" s="53"/>
      <c r="O39" s="3"/>
    </row>
    <row r="40" spans="1:16" ht="57" x14ac:dyDescent="0.35">
      <c r="A40" s="31"/>
      <c r="B40" s="6" t="s">
        <v>260</v>
      </c>
      <c r="C40" s="10"/>
      <c r="D40" s="10">
        <v>2094700</v>
      </c>
      <c r="E40" s="10">
        <v>0</v>
      </c>
      <c r="F40" s="64" t="s">
        <v>400</v>
      </c>
      <c r="G40" s="64" t="s">
        <v>346</v>
      </c>
      <c r="H40" s="64" t="s">
        <v>709</v>
      </c>
      <c r="I40" s="7">
        <v>1515151</v>
      </c>
      <c r="J40" s="7">
        <f>D40-I40</f>
        <v>579549</v>
      </c>
      <c r="K40" s="7">
        <v>1515151</v>
      </c>
      <c r="L40" s="7">
        <f>D40-K40</f>
        <v>579549</v>
      </c>
      <c r="M40" s="7">
        <f>K40*100/I40</f>
        <v>100</v>
      </c>
      <c r="N40" s="65" t="s">
        <v>125</v>
      </c>
      <c r="O40" s="3"/>
      <c r="P40" s="144"/>
    </row>
    <row r="41" spans="1:16" ht="38.25" x14ac:dyDescent="0.35">
      <c r="A41" s="60">
        <v>5</v>
      </c>
      <c r="B41" s="58" t="s">
        <v>103</v>
      </c>
      <c r="C41" s="52">
        <f>E41</f>
        <v>8000000</v>
      </c>
      <c r="D41" s="52">
        <v>0</v>
      </c>
      <c r="E41" s="52">
        <f>E42</f>
        <v>8000000</v>
      </c>
      <c r="F41" s="62" t="s">
        <v>198</v>
      </c>
      <c r="G41" s="59"/>
      <c r="H41" s="59"/>
      <c r="I41" s="59"/>
      <c r="J41" s="59"/>
      <c r="K41" s="52">
        <f>K42</f>
        <v>948600</v>
      </c>
      <c r="L41" s="59">
        <f>E41-K41</f>
        <v>7051400</v>
      </c>
      <c r="M41" s="148">
        <f>K41*100/E41</f>
        <v>11.8575</v>
      </c>
      <c r="N41" s="53"/>
      <c r="O41" s="3"/>
    </row>
    <row r="42" spans="1:16" ht="34.5" customHeight="1" x14ac:dyDescent="0.35">
      <c r="A42" s="31"/>
      <c r="B42" s="8" t="s">
        <v>104</v>
      </c>
      <c r="C42" s="10"/>
      <c r="D42" s="10">
        <v>0</v>
      </c>
      <c r="E42" s="10">
        <f>E43+E44+E45+E46</f>
        <v>8000000</v>
      </c>
      <c r="F42" s="10"/>
      <c r="G42" s="7"/>
      <c r="H42" s="7"/>
      <c r="I42" s="7"/>
      <c r="J42" s="7"/>
      <c r="K42" s="7">
        <f>K43+K44+K45+K46</f>
        <v>948600</v>
      </c>
      <c r="L42" s="7">
        <f>E42-K42</f>
        <v>7051400</v>
      </c>
      <c r="M42" s="156">
        <f>K42*100/E42</f>
        <v>11.8575</v>
      </c>
      <c r="N42" s="65" t="s">
        <v>125</v>
      </c>
      <c r="O42" s="3"/>
    </row>
    <row r="43" spans="1:16" ht="21" x14ac:dyDescent="0.35">
      <c r="A43" s="31"/>
      <c r="B43" s="67" t="s">
        <v>105</v>
      </c>
      <c r="C43" s="10"/>
      <c r="D43" s="10"/>
      <c r="E43" s="10">
        <v>2000000</v>
      </c>
      <c r="F43" s="10"/>
      <c r="G43" s="7"/>
      <c r="H43" s="7"/>
      <c r="I43" s="7"/>
      <c r="J43" s="7"/>
      <c r="K43" s="7">
        <f>312000+80000+15000+9600+97000+40000+12000+12000+80000+26000</f>
        <v>683600</v>
      </c>
      <c r="L43" s="7">
        <f>E43-K43</f>
        <v>1316400</v>
      </c>
      <c r="M43" s="156">
        <f>K43*100/E43</f>
        <v>34.18</v>
      </c>
      <c r="N43" s="63"/>
      <c r="O43" s="3"/>
    </row>
    <row r="44" spans="1:16" ht="21" x14ac:dyDescent="0.35">
      <c r="A44" s="31"/>
      <c r="B44" s="67" t="s">
        <v>106</v>
      </c>
      <c r="C44" s="10"/>
      <c r="D44" s="10"/>
      <c r="E44" s="10">
        <v>2000000</v>
      </c>
      <c r="F44" s="10"/>
      <c r="G44" s="7"/>
      <c r="H44" s="7"/>
      <c r="I44" s="7"/>
      <c r="J44" s="7"/>
      <c r="K44" s="7"/>
      <c r="L44" s="7">
        <f t="shared" ref="L44:L46" si="8">E44-K44</f>
        <v>2000000</v>
      </c>
      <c r="M44" s="7">
        <f t="shared" ref="M44:M46" si="9">K44*100/E44</f>
        <v>0</v>
      </c>
      <c r="N44" s="63"/>
      <c r="O44" s="3"/>
    </row>
    <row r="45" spans="1:16" ht="21" x14ac:dyDescent="0.35">
      <c r="A45" s="31"/>
      <c r="B45" s="67" t="s">
        <v>107</v>
      </c>
      <c r="C45" s="10"/>
      <c r="D45" s="10"/>
      <c r="E45" s="10">
        <v>2000000</v>
      </c>
      <c r="F45" s="10"/>
      <c r="G45" s="7"/>
      <c r="H45" s="312"/>
      <c r="I45" s="7"/>
      <c r="J45" s="7"/>
      <c r="K45" s="7">
        <f>45800+50000+56000+15000+20000+75000+3200</f>
        <v>265000</v>
      </c>
      <c r="L45" s="7">
        <f t="shared" si="8"/>
        <v>1735000</v>
      </c>
      <c r="M45" s="8">
        <f t="shared" si="9"/>
        <v>13.25</v>
      </c>
      <c r="N45" s="63"/>
      <c r="O45" s="3"/>
    </row>
    <row r="46" spans="1:16" ht="24" customHeight="1" x14ac:dyDescent="0.35">
      <c r="A46" s="31"/>
      <c r="B46" s="67" t="s">
        <v>108</v>
      </c>
      <c r="C46" s="10"/>
      <c r="D46" s="10"/>
      <c r="E46" s="10">
        <v>2000000</v>
      </c>
      <c r="F46" s="10"/>
      <c r="G46" s="7"/>
      <c r="H46" s="7"/>
      <c r="I46" s="7"/>
      <c r="J46" s="7"/>
      <c r="K46" s="7"/>
      <c r="L46" s="7">
        <f t="shared" si="8"/>
        <v>2000000</v>
      </c>
      <c r="M46" s="7">
        <f t="shared" si="9"/>
        <v>0</v>
      </c>
      <c r="N46" s="63"/>
      <c r="O46" s="3"/>
    </row>
    <row r="47" spans="1:16" ht="21" x14ac:dyDescent="0.35">
      <c r="A47" s="31"/>
      <c r="B47" s="57" t="s">
        <v>109</v>
      </c>
      <c r="C47" s="52">
        <f>C48+C50</f>
        <v>45400000</v>
      </c>
      <c r="D47" s="52">
        <f t="shared" ref="D47:E47" si="10">D48+D50</f>
        <v>45000000</v>
      </c>
      <c r="E47" s="52">
        <f t="shared" si="10"/>
        <v>400000</v>
      </c>
      <c r="F47" s="52"/>
      <c r="G47" s="59"/>
      <c r="H47" s="59"/>
      <c r="I47" s="59">
        <f>I48</f>
        <v>44990000</v>
      </c>
      <c r="J47" s="59">
        <f>J48</f>
        <v>10000</v>
      </c>
      <c r="K47" s="52">
        <f>K48+K50</f>
        <v>11142713.93</v>
      </c>
      <c r="L47" s="52">
        <f>L48+L50</f>
        <v>34257286.07</v>
      </c>
      <c r="M47" s="148">
        <f>K47*100/C47</f>
        <v>24.543422753303965</v>
      </c>
      <c r="N47" s="63"/>
      <c r="O47" s="3"/>
    </row>
    <row r="48" spans="1:16" ht="38.25" x14ac:dyDescent="0.35">
      <c r="A48" s="60">
        <v>6</v>
      </c>
      <c r="B48" s="58" t="s">
        <v>110</v>
      </c>
      <c r="C48" s="52">
        <f>D48</f>
        <v>45000000</v>
      </c>
      <c r="D48" s="52">
        <f>D49</f>
        <v>45000000</v>
      </c>
      <c r="E48" s="52">
        <f>E49</f>
        <v>0</v>
      </c>
      <c r="F48" s="62"/>
      <c r="G48" s="59"/>
      <c r="H48" s="59"/>
      <c r="I48" s="59">
        <f>I49</f>
        <v>44990000</v>
      </c>
      <c r="J48" s="59">
        <f>J49</f>
        <v>10000</v>
      </c>
      <c r="K48" s="59">
        <f>K49</f>
        <v>10797600</v>
      </c>
      <c r="L48" s="59">
        <f>D48-K48</f>
        <v>34202400</v>
      </c>
      <c r="M48" s="68">
        <f>K48*100/D48</f>
        <v>23.994666666666667</v>
      </c>
      <c r="N48" s="53"/>
      <c r="O48" s="3"/>
      <c r="P48" s="144"/>
    </row>
    <row r="49" spans="1:15" ht="46.5" customHeight="1" x14ac:dyDescent="0.35">
      <c r="A49" s="31"/>
      <c r="B49" s="69" t="s">
        <v>111</v>
      </c>
      <c r="C49" s="10"/>
      <c r="D49" s="10">
        <v>45000000</v>
      </c>
      <c r="E49" s="10">
        <v>0</v>
      </c>
      <c r="F49" s="64" t="s">
        <v>369</v>
      </c>
      <c r="G49" s="70" t="s">
        <v>329</v>
      </c>
      <c r="H49" s="64" t="s">
        <v>713</v>
      </c>
      <c r="I49" s="149">
        <v>44990000</v>
      </c>
      <c r="J49" s="149">
        <f>D49-I49</f>
        <v>10000</v>
      </c>
      <c r="K49" s="7">
        <v>10797600</v>
      </c>
      <c r="L49" s="7">
        <f>D49-K49</f>
        <v>34202400</v>
      </c>
      <c r="M49" s="7">
        <f>K49*100/I49</f>
        <v>24</v>
      </c>
      <c r="N49" s="65" t="s">
        <v>31</v>
      </c>
      <c r="O49" s="3"/>
    </row>
    <row r="50" spans="1:15" ht="21" x14ac:dyDescent="0.35">
      <c r="A50" s="60">
        <v>7</v>
      </c>
      <c r="B50" s="57" t="s">
        <v>112</v>
      </c>
      <c r="C50" s="52">
        <f>E50</f>
        <v>400000</v>
      </c>
      <c r="D50" s="52">
        <v>0</v>
      </c>
      <c r="E50" s="52">
        <f>E51</f>
        <v>400000</v>
      </c>
      <c r="F50" s="62" t="s">
        <v>261</v>
      </c>
      <c r="G50" s="59"/>
      <c r="H50" s="59"/>
      <c r="I50" s="59"/>
      <c r="J50" s="59"/>
      <c r="K50" s="59">
        <f>K51</f>
        <v>345113.93</v>
      </c>
      <c r="L50" s="59">
        <f>E50-K50</f>
        <v>54886.070000000007</v>
      </c>
      <c r="M50" s="59">
        <f>K50*100/E50</f>
        <v>86.278482499999996</v>
      </c>
      <c r="N50" s="53"/>
      <c r="O50" s="3"/>
    </row>
    <row r="51" spans="1:15" ht="34.5" customHeight="1" x14ac:dyDescent="0.35">
      <c r="A51" s="31"/>
      <c r="B51" s="8" t="s">
        <v>113</v>
      </c>
      <c r="C51" s="10"/>
      <c r="D51" s="10">
        <v>0</v>
      </c>
      <c r="E51" s="10">
        <v>400000</v>
      </c>
      <c r="F51" s="10"/>
      <c r="G51" s="7"/>
      <c r="H51" s="7"/>
      <c r="I51" s="7"/>
      <c r="J51" s="7"/>
      <c r="K51" s="7">
        <f>92000+7000+84000+24000+70000+25000+1000+8000+25000+1000+1688.4+4740.49+2785.04-1100</f>
        <v>345113.93</v>
      </c>
      <c r="L51" s="7">
        <f>E51-K51</f>
        <v>54886.070000000007</v>
      </c>
      <c r="M51" s="7">
        <f>K51*100/E51</f>
        <v>86.278482499999996</v>
      </c>
      <c r="N51" s="71" t="s">
        <v>145</v>
      </c>
      <c r="O51" s="3"/>
    </row>
    <row r="52" spans="1:15" ht="21" x14ac:dyDescent="0.35">
      <c r="A52" s="57"/>
      <c r="B52" s="53" t="s">
        <v>114</v>
      </c>
      <c r="C52" s="52">
        <f>C8+C38+C47</f>
        <v>93962000</v>
      </c>
      <c r="D52" s="52">
        <f t="shared" ref="D52:E52" si="11">D8+D38+D47</f>
        <v>74923700</v>
      </c>
      <c r="E52" s="52">
        <f t="shared" si="11"/>
        <v>19038300</v>
      </c>
      <c r="F52" s="52"/>
      <c r="G52" s="59"/>
      <c r="H52" s="59"/>
      <c r="I52" s="52">
        <f>I8+I38+I47</f>
        <v>74166151</v>
      </c>
      <c r="J52" s="52">
        <f>J8+J38+J47</f>
        <v>757549</v>
      </c>
      <c r="K52" s="59">
        <f>K8+K38+K47</f>
        <v>36527191.549999997</v>
      </c>
      <c r="L52" s="59">
        <f>C52-K52</f>
        <v>57434808.450000003</v>
      </c>
      <c r="M52" s="148">
        <f>K52*100/C52</f>
        <v>38.874429609842274</v>
      </c>
      <c r="N52" s="57"/>
      <c r="O52" s="3"/>
    </row>
    <row r="53" spans="1:15" ht="2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2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2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2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2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21" x14ac:dyDescent="0.35">
      <c r="A58" s="3"/>
      <c r="B58" s="3"/>
      <c r="C58" s="3"/>
      <c r="D58" s="3"/>
      <c r="E58" s="3"/>
      <c r="F58" s="3"/>
      <c r="G58" s="3"/>
      <c r="H58" s="3"/>
      <c r="I58" s="3"/>
      <c r="J58" s="160">
        <v>93556700</v>
      </c>
      <c r="K58" s="3"/>
      <c r="L58" s="3"/>
      <c r="M58" s="3"/>
      <c r="N58" s="3"/>
      <c r="O58" s="3"/>
    </row>
    <row r="59" spans="1:15" ht="21" x14ac:dyDescent="0.35">
      <c r="A59" s="3"/>
      <c r="B59" s="3"/>
      <c r="C59" s="3"/>
      <c r="D59" s="3"/>
      <c r="E59" s="3"/>
      <c r="F59" s="3"/>
      <c r="G59" s="3"/>
      <c r="H59" s="3"/>
      <c r="I59" s="3"/>
      <c r="J59" s="160">
        <v>211838.71</v>
      </c>
      <c r="K59" s="3"/>
      <c r="L59" s="3"/>
      <c r="M59" s="3"/>
      <c r="N59" s="3"/>
      <c r="O59" s="3"/>
    </row>
    <row r="60" spans="1:15" ht="21" x14ac:dyDescent="0.35">
      <c r="A60" s="3"/>
      <c r="B60" s="3"/>
      <c r="C60" s="3"/>
      <c r="D60" s="3"/>
      <c r="E60" s="3"/>
      <c r="F60" s="3"/>
      <c r="G60" s="3"/>
      <c r="H60" s="3"/>
      <c r="I60" s="3"/>
      <c r="J60" s="160">
        <f>J58+J59</f>
        <v>93768538.709999993</v>
      </c>
      <c r="K60" s="3"/>
      <c r="L60" s="3"/>
      <c r="M60" s="3"/>
      <c r="N60" s="3"/>
      <c r="O60" s="3"/>
    </row>
    <row r="61" spans="1:15" ht="2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2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2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2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2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2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2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</sheetData>
  <mergeCells count="10">
    <mergeCell ref="A1:N1"/>
    <mergeCell ref="A2:N2"/>
    <mergeCell ref="A3:N3"/>
    <mergeCell ref="A5:A6"/>
    <mergeCell ref="B5:B6"/>
    <mergeCell ref="K5:M5"/>
    <mergeCell ref="N5:N6"/>
    <mergeCell ref="C5:E5"/>
    <mergeCell ref="F5:J5"/>
    <mergeCell ref="J4:N4"/>
  </mergeCells>
  <pageMargins left="0.19685039370078741" right="0" top="0.15748031496062992" bottom="0.19685039370078741" header="0" footer="0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67" workbookViewId="0">
      <selection activeCell="L74" sqref="L74"/>
    </sheetView>
  </sheetViews>
  <sheetFormatPr defaultRowHeight="14.25" x14ac:dyDescent="0.2"/>
  <cols>
    <col min="1" max="1" width="4.125" customWidth="1"/>
    <col min="2" max="2" width="35" customWidth="1"/>
    <col min="5" max="5" width="7" customWidth="1"/>
    <col min="6" max="6" width="11.625" customWidth="1"/>
    <col min="7" max="7" width="11.25" customWidth="1"/>
    <col min="8" max="8" width="6.5" customWidth="1"/>
    <col min="9" max="9" width="11.25" customWidth="1"/>
    <col min="11" max="12" width="10.375" bestFit="1" customWidth="1"/>
  </cols>
  <sheetData>
    <row r="1" spans="1:9" s="1" customFormat="1" ht="24.75" customHeight="1" x14ac:dyDescent="0.35">
      <c r="A1" s="497" t="s">
        <v>327</v>
      </c>
      <c r="B1" s="497"/>
      <c r="C1" s="497"/>
      <c r="D1" s="497"/>
      <c r="E1" s="497"/>
      <c r="F1" s="497"/>
      <c r="G1" s="497"/>
      <c r="H1" s="497"/>
      <c r="I1" s="497"/>
    </row>
    <row r="2" spans="1:9" s="1" customFormat="1" ht="24.75" customHeight="1" x14ac:dyDescent="0.35">
      <c r="A2" s="497" t="s">
        <v>328</v>
      </c>
      <c r="B2" s="497"/>
      <c r="C2" s="497"/>
      <c r="D2" s="497"/>
      <c r="E2" s="497"/>
      <c r="F2" s="497"/>
      <c r="G2" s="497"/>
      <c r="H2" s="497"/>
      <c r="I2" s="497"/>
    </row>
    <row r="3" spans="1:9" s="1" customFormat="1" x14ac:dyDescent="0.2"/>
    <row r="4" spans="1:9" s="1" customFormat="1" ht="22.5" customHeight="1" x14ac:dyDescent="0.2">
      <c r="A4" s="501" t="s">
        <v>78</v>
      </c>
      <c r="B4" s="503" t="s">
        <v>79</v>
      </c>
      <c r="C4" s="503" t="s">
        <v>195</v>
      </c>
      <c r="D4" s="503"/>
      <c r="E4" s="503"/>
      <c r="F4" s="503" t="s">
        <v>74</v>
      </c>
      <c r="G4" s="503"/>
      <c r="H4" s="503"/>
      <c r="I4" s="499" t="s">
        <v>0</v>
      </c>
    </row>
    <row r="5" spans="1:9" s="1" customFormat="1" ht="35.25" customHeight="1" x14ac:dyDescent="0.2">
      <c r="A5" s="502"/>
      <c r="B5" s="503"/>
      <c r="C5" s="44" t="s">
        <v>114</v>
      </c>
      <c r="D5" s="44" t="s">
        <v>83</v>
      </c>
      <c r="E5" s="44" t="s">
        <v>82</v>
      </c>
      <c r="F5" s="44" t="s">
        <v>193</v>
      </c>
      <c r="G5" s="44" t="s">
        <v>75</v>
      </c>
      <c r="H5" s="44" t="s">
        <v>76</v>
      </c>
      <c r="I5" s="500"/>
    </row>
    <row r="6" spans="1:9" s="1" customFormat="1" ht="23.25" customHeight="1" x14ac:dyDescent="0.2">
      <c r="A6" s="46"/>
      <c r="B6" s="29" t="s">
        <v>114</v>
      </c>
      <c r="C6" s="27">
        <f>D6</f>
        <v>8000000</v>
      </c>
      <c r="D6" s="27">
        <f>D7+D14+D20+D22+D56+D67</f>
        <v>8000000</v>
      </c>
      <c r="E6" s="27"/>
      <c r="F6" s="30">
        <f>F7+F14+F20+F22+F56+F67</f>
        <v>3657724.24</v>
      </c>
      <c r="G6" s="30">
        <f t="shared" ref="G6:G13" si="0">C6-F6</f>
        <v>4342275.76</v>
      </c>
      <c r="H6" s="30">
        <f>F6*100/C6</f>
        <v>45.721553</v>
      </c>
      <c r="I6" s="28"/>
    </row>
    <row r="7" spans="1:9" s="1" customFormat="1" ht="75" customHeight="1" x14ac:dyDescent="0.2">
      <c r="A7" s="467" t="s">
        <v>146</v>
      </c>
      <c r="B7" s="468"/>
      <c r="C7" s="12">
        <f>C8</f>
        <v>400000</v>
      </c>
      <c r="D7" s="12">
        <f>D8</f>
        <v>400000</v>
      </c>
      <c r="E7" s="12"/>
      <c r="F7" s="21">
        <f>F8</f>
        <v>230645</v>
      </c>
      <c r="G7" s="21">
        <f t="shared" si="0"/>
        <v>169355</v>
      </c>
      <c r="H7" s="22">
        <f>F7*100/C7</f>
        <v>57.661250000000003</v>
      </c>
      <c r="I7" s="14"/>
    </row>
    <row r="8" spans="1:9" s="1" customFormat="1" ht="39.75" customHeight="1" x14ac:dyDescent="0.2">
      <c r="A8" s="495" t="s">
        <v>147</v>
      </c>
      <c r="B8" s="498"/>
      <c r="C8" s="12">
        <f>C9+C10+C11+C12+C13</f>
        <v>400000</v>
      </c>
      <c r="D8" s="12">
        <f>D9+D10+D11+D12+D13</f>
        <v>400000</v>
      </c>
      <c r="E8" s="12"/>
      <c r="F8" s="21">
        <f>F9+F10+F11+F12+F13</f>
        <v>230645</v>
      </c>
      <c r="G8" s="21">
        <f t="shared" si="0"/>
        <v>169355</v>
      </c>
      <c r="H8" s="22">
        <f>F8*100/C8</f>
        <v>57.661250000000003</v>
      </c>
      <c r="I8" s="25" t="s">
        <v>199</v>
      </c>
    </row>
    <row r="9" spans="1:9" s="1" customFormat="1" ht="35.25" customHeight="1" x14ac:dyDescent="0.2">
      <c r="A9" s="11"/>
      <c r="B9" s="19" t="s">
        <v>148</v>
      </c>
      <c r="C9" s="15">
        <v>100000</v>
      </c>
      <c r="D9" s="15">
        <v>100000</v>
      </c>
      <c r="E9" s="15"/>
      <c r="F9" s="23">
        <f>4725+6750+490+980+665+1505+665+29915</f>
        <v>45695</v>
      </c>
      <c r="G9" s="23">
        <f t="shared" si="0"/>
        <v>54305</v>
      </c>
      <c r="H9" s="23">
        <f>F9*100/C9</f>
        <v>45.695</v>
      </c>
      <c r="I9" s="17"/>
    </row>
    <row r="10" spans="1:9" s="1" customFormat="1" ht="39.75" customHeight="1" x14ac:dyDescent="0.2">
      <c r="A10" s="11"/>
      <c r="B10" s="19" t="s">
        <v>149</v>
      </c>
      <c r="C10" s="15">
        <v>100000</v>
      </c>
      <c r="D10" s="15">
        <v>100000</v>
      </c>
      <c r="E10" s="15"/>
      <c r="F10" s="23">
        <f>1820+1820+1435+1230+13475+525+5700+2250+2250+9150+315+1225+10650+1505+1505+1260+665+2485+13175+4250+560+315+455+805+1190+1470+1190+1120+630+525</f>
        <v>84950</v>
      </c>
      <c r="G10" s="23">
        <f t="shared" si="0"/>
        <v>15050</v>
      </c>
      <c r="H10" s="23">
        <f>F10*100/C10</f>
        <v>84.95</v>
      </c>
      <c r="I10" s="17"/>
    </row>
    <row r="11" spans="1:9" s="1" customFormat="1" ht="21" customHeight="1" x14ac:dyDescent="0.2">
      <c r="A11" s="11"/>
      <c r="B11" s="19" t="s">
        <v>150</v>
      </c>
      <c r="C11" s="15">
        <v>100000</v>
      </c>
      <c r="D11" s="15">
        <v>100000</v>
      </c>
      <c r="E11" s="15"/>
      <c r="F11" s="23">
        <v>0</v>
      </c>
      <c r="G11" s="23">
        <f t="shared" si="0"/>
        <v>100000</v>
      </c>
      <c r="H11" s="23">
        <f t="shared" ref="H11" si="1">F11*100/C11</f>
        <v>0</v>
      </c>
      <c r="I11" s="17"/>
    </row>
    <row r="12" spans="1:9" s="1" customFormat="1" ht="56.25" customHeight="1" x14ac:dyDescent="0.2">
      <c r="A12" s="11"/>
      <c r="B12" s="19" t="s">
        <v>151</v>
      </c>
      <c r="C12" s="15">
        <v>50000</v>
      </c>
      <c r="D12" s="15">
        <v>50000</v>
      </c>
      <c r="E12" s="15"/>
      <c r="F12" s="23">
        <f>50000</f>
        <v>50000</v>
      </c>
      <c r="G12" s="23">
        <f t="shared" si="0"/>
        <v>0</v>
      </c>
      <c r="H12" s="23">
        <f>F12*100/C12</f>
        <v>100</v>
      </c>
      <c r="I12" s="17"/>
    </row>
    <row r="13" spans="1:9" s="1" customFormat="1" ht="21" customHeight="1" x14ac:dyDescent="0.2">
      <c r="A13" s="11"/>
      <c r="B13" s="19" t="s">
        <v>152</v>
      </c>
      <c r="C13" s="15">
        <v>50000</v>
      </c>
      <c r="D13" s="15">
        <v>50000</v>
      </c>
      <c r="E13" s="15"/>
      <c r="F13" s="23">
        <v>50000</v>
      </c>
      <c r="G13" s="23">
        <f t="shared" si="0"/>
        <v>0</v>
      </c>
      <c r="H13" s="23">
        <f t="shared" ref="H13:H19" si="2">F13*100/C13</f>
        <v>100</v>
      </c>
      <c r="I13" s="17"/>
    </row>
    <row r="14" spans="1:9" s="1" customFormat="1" ht="21" customHeight="1" x14ac:dyDescent="0.2">
      <c r="A14" s="467" t="s">
        <v>153</v>
      </c>
      <c r="B14" s="468"/>
      <c r="C14" s="12">
        <f>C15</f>
        <v>612000</v>
      </c>
      <c r="D14" s="12">
        <f>D15</f>
        <v>612000</v>
      </c>
      <c r="E14" s="12"/>
      <c r="F14" s="21">
        <f>F15</f>
        <v>484171</v>
      </c>
      <c r="G14" s="22">
        <f t="shared" ref="G14:G38" si="3">C14-F14</f>
        <v>127829</v>
      </c>
      <c r="H14" s="22">
        <f t="shared" si="2"/>
        <v>79.112908496732032</v>
      </c>
      <c r="I14" s="14"/>
    </row>
    <row r="15" spans="1:9" s="1" customFormat="1" ht="94.5" customHeight="1" x14ac:dyDescent="0.2">
      <c r="A15" s="495" t="s">
        <v>154</v>
      </c>
      <c r="B15" s="498"/>
      <c r="C15" s="12">
        <f>C16+C17+C18+C19</f>
        <v>612000</v>
      </c>
      <c r="D15" s="12">
        <f>D16+D17+D18+D19</f>
        <v>612000</v>
      </c>
      <c r="E15" s="12"/>
      <c r="F15" s="21">
        <f>F16+F17+F18+F19</f>
        <v>484171</v>
      </c>
      <c r="G15" s="21">
        <f t="shared" si="3"/>
        <v>127829</v>
      </c>
      <c r="H15" s="21">
        <f t="shared" si="2"/>
        <v>79.112908496732032</v>
      </c>
      <c r="I15" s="25" t="s">
        <v>199</v>
      </c>
    </row>
    <row r="16" spans="1:9" s="1" customFormat="1" ht="27" customHeight="1" x14ac:dyDescent="0.2">
      <c r="A16" s="11"/>
      <c r="B16" s="19" t="s">
        <v>155</v>
      </c>
      <c r="C16" s="15">
        <v>576000</v>
      </c>
      <c r="D16" s="15">
        <v>576000</v>
      </c>
      <c r="E16" s="15"/>
      <c r="F16" s="23">
        <f>48400+66000+64400+64400+64400+64400+64400-22400-8000-14400-9600-3200+2065+2065+1050+64400</f>
        <v>448380</v>
      </c>
      <c r="G16" s="23">
        <f>C16-F16</f>
        <v>127620</v>
      </c>
      <c r="H16" s="23">
        <f t="shared" si="2"/>
        <v>77.84375</v>
      </c>
      <c r="I16" s="17"/>
    </row>
    <row r="17" spans="1:9" s="1" customFormat="1" ht="27" customHeight="1" x14ac:dyDescent="0.2">
      <c r="A17" s="11"/>
      <c r="B17" s="19" t="s">
        <v>156</v>
      </c>
      <c r="C17" s="15">
        <v>18000</v>
      </c>
      <c r="D17" s="15">
        <v>18000</v>
      </c>
      <c r="E17" s="15"/>
      <c r="F17" s="23">
        <f>1995+2100+1435+1435+1960+1400+1855+1400+2100+1400+900</f>
        <v>17980</v>
      </c>
      <c r="G17" s="23">
        <f t="shared" si="3"/>
        <v>20</v>
      </c>
      <c r="H17" s="23">
        <f t="shared" si="2"/>
        <v>99.888888888888886</v>
      </c>
      <c r="I17" s="17"/>
    </row>
    <row r="18" spans="1:9" s="1" customFormat="1" ht="24" customHeight="1" x14ac:dyDescent="0.2">
      <c r="A18" s="11"/>
      <c r="B18" s="19" t="s">
        <v>157</v>
      </c>
      <c r="C18" s="15">
        <v>10000</v>
      </c>
      <c r="D18" s="15">
        <v>10000</v>
      </c>
      <c r="E18" s="15"/>
      <c r="F18" s="23">
        <f>1425+3300+2800+1200+1200</f>
        <v>9925</v>
      </c>
      <c r="G18" s="23">
        <f t="shared" si="3"/>
        <v>75</v>
      </c>
      <c r="H18" s="23">
        <f t="shared" si="2"/>
        <v>99.25</v>
      </c>
      <c r="I18" s="17"/>
    </row>
    <row r="19" spans="1:9" s="1" customFormat="1" ht="23.25" customHeight="1" x14ac:dyDescent="0.2">
      <c r="A19" s="11"/>
      <c r="B19" s="19" t="s">
        <v>158</v>
      </c>
      <c r="C19" s="15">
        <v>8000</v>
      </c>
      <c r="D19" s="15">
        <v>8000</v>
      </c>
      <c r="E19" s="15"/>
      <c r="F19" s="23">
        <f>1431+2400+1400+1770+885</f>
        <v>7886</v>
      </c>
      <c r="G19" s="23">
        <f t="shared" si="3"/>
        <v>114</v>
      </c>
      <c r="H19" s="23">
        <f t="shared" si="2"/>
        <v>98.575000000000003</v>
      </c>
      <c r="I19" s="17"/>
    </row>
    <row r="20" spans="1:9" s="1" customFormat="1" ht="24" customHeight="1" x14ac:dyDescent="0.2">
      <c r="A20" s="486" t="s">
        <v>159</v>
      </c>
      <c r="B20" s="487"/>
      <c r="C20" s="12">
        <f>C21</f>
        <v>300000</v>
      </c>
      <c r="D20" s="12">
        <f>D21</f>
        <v>300000</v>
      </c>
      <c r="E20" s="12"/>
      <c r="F20" s="21">
        <f>F21</f>
        <v>0</v>
      </c>
      <c r="G20" s="22">
        <f t="shared" si="3"/>
        <v>300000</v>
      </c>
      <c r="H20" s="13">
        <f>F20*100/D20</f>
        <v>0</v>
      </c>
      <c r="I20" s="14"/>
    </row>
    <row r="21" spans="1:9" s="1" customFormat="1" ht="39.75" customHeight="1" x14ac:dyDescent="0.2">
      <c r="A21" s="495" t="s">
        <v>160</v>
      </c>
      <c r="B21" s="498"/>
      <c r="C21" s="12">
        <v>300000</v>
      </c>
      <c r="D21" s="12">
        <v>300000</v>
      </c>
      <c r="E21" s="12"/>
      <c r="F21" s="22">
        <v>0</v>
      </c>
      <c r="G21" s="22">
        <f t="shared" si="3"/>
        <v>300000</v>
      </c>
      <c r="H21" s="13">
        <f t="shared" ref="H21:H76" si="4">F21*100/C21</f>
        <v>0</v>
      </c>
      <c r="I21" s="25" t="s">
        <v>199</v>
      </c>
    </row>
    <row r="22" spans="1:9" s="1" customFormat="1" ht="22.5" customHeight="1" x14ac:dyDescent="0.2">
      <c r="A22" s="467" t="s">
        <v>161</v>
      </c>
      <c r="B22" s="468"/>
      <c r="C22" s="12">
        <f>C23+C32+C39+C42</f>
        <v>4204000</v>
      </c>
      <c r="D22" s="12">
        <f>D23+D32+D39+D42</f>
        <v>4204000</v>
      </c>
      <c r="E22" s="12"/>
      <c r="F22" s="21">
        <f>F23+F32+F39+F42</f>
        <v>1780302.04</v>
      </c>
      <c r="G22" s="22">
        <f t="shared" si="3"/>
        <v>2423697.96</v>
      </c>
      <c r="H22" s="22">
        <f t="shared" si="4"/>
        <v>42.347812559467172</v>
      </c>
      <c r="I22" s="25"/>
    </row>
    <row r="23" spans="1:9" s="1" customFormat="1" ht="39.75" customHeight="1" x14ac:dyDescent="0.2">
      <c r="A23" s="495" t="s">
        <v>162</v>
      </c>
      <c r="B23" s="498"/>
      <c r="C23" s="12">
        <f>C24+C25+C26+C27+C28+C29+C30+C31</f>
        <v>1000000</v>
      </c>
      <c r="D23" s="12">
        <f>D24+D25+D26+D27+D28+D29+D30+D31</f>
        <v>1000000</v>
      </c>
      <c r="E23" s="12"/>
      <c r="F23" s="21">
        <f>F24+F25+F26+F27+F28+F29+F30+F31</f>
        <v>661078.79999999993</v>
      </c>
      <c r="G23" s="22">
        <f>D23-F23</f>
        <v>338921.20000000007</v>
      </c>
      <c r="H23" s="22">
        <f t="shared" si="4"/>
        <v>66.107879999999994</v>
      </c>
      <c r="I23" s="25" t="s">
        <v>199</v>
      </c>
    </row>
    <row r="24" spans="1:9" s="1" customFormat="1" ht="39.75" customHeight="1" x14ac:dyDescent="0.2">
      <c r="A24" s="11"/>
      <c r="B24" s="19" t="s">
        <v>184</v>
      </c>
      <c r="C24" s="15">
        <v>372000</v>
      </c>
      <c r="D24" s="15">
        <v>372000</v>
      </c>
      <c r="E24" s="15"/>
      <c r="F24" s="23">
        <f>40558.8+39126.8+25000+25000+25000+20000</f>
        <v>174685.6</v>
      </c>
      <c r="G24" s="23">
        <f t="shared" si="3"/>
        <v>197314.4</v>
      </c>
      <c r="H24" s="23">
        <f t="shared" si="4"/>
        <v>46.958494623655916</v>
      </c>
      <c r="I24" s="26"/>
    </row>
    <row r="25" spans="1:9" s="1" customFormat="1" ht="24" customHeight="1" x14ac:dyDescent="0.2">
      <c r="A25" s="11"/>
      <c r="B25" s="19" t="s">
        <v>163</v>
      </c>
      <c r="C25" s="15">
        <v>360000</v>
      </c>
      <c r="D25" s="15">
        <v>360000</v>
      </c>
      <c r="E25" s="15"/>
      <c r="F25" s="23">
        <f>49830+70000+96500+30000+81500+32170</f>
        <v>360000</v>
      </c>
      <c r="G25" s="23">
        <f t="shared" si="3"/>
        <v>0</v>
      </c>
      <c r="H25" s="23">
        <f t="shared" si="4"/>
        <v>100</v>
      </c>
      <c r="I25" s="26"/>
    </row>
    <row r="26" spans="1:9" s="1" customFormat="1" ht="20.25" customHeight="1" x14ac:dyDescent="0.2">
      <c r="A26" s="11"/>
      <c r="B26" s="19" t="s">
        <v>164</v>
      </c>
      <c r="C26" s="15">
        <v>40000</v>
      </c>
      <c r="D26" s="15">
        <v>40000</v>
      </c>
      <c r="E26" s="15"/>
      <c r="F26" s="23">
        <f>792+248+792+1352+5432+1160+1160+1112+792+792+1862+21400+26+840</f>
        <v>37760</v>
      </c>
      <c r="G26" s="23">
        <f t="shared" si="3"/>
        <v>2240</v>
      </c>
      <c r="H26" s="23">
        <f t="shared" si="4"/>
        <v>94.4</v>
      </c>
      <c r="I26" s="26"/>
    </row>
    <row r="27" spans="1:9" s="1" customFormat="1" ht="21" customHeight="1" x14ac:dyDescent="0.2">
      <c r="A27" s="11"/>
      <c r="B27" s="19" t="s">
        <v>165</v>
      </c>
      <c r="C27" s="15">
        <v>20000</v>
      </c>
      <c r="D27" s="15">
        <v>20000</v>
      </c>
      <c r="E27" s="15"/>
      <c r="F27" s="23">
        <f>3000+14060</f>
        <v>17060</v>
      </c>
      <c r="G27" s="23">
        <f t="shared" si="3"/>
        <v>2940</v>
      </c>
      <c r="H27" s="23">
        <f t="shared" si="4"/>
        <v>85.3</v>
      </c>
      <c r="I27" s="26"/>
    </row>
    <row r="28" spans="1:9" s="1" customFormat="1" ht="22.5" customHeight="1" x14ac:dyDescent="0.2">
      <c r="A28" s="11"/>
      <c r="B28" s="19" t="s">
        <v>166</v>
      </c>
      <c r="C28" s="15">
        <v>30000</v>
      </c>
      <c r="D28" s="15">
        <v>30000</v>
      </c>
      <c r="E28" s="15"/>
      <c r="F28" s="23">
        <f>3700+6163.2</f>
        <v>9863.2000000000007</v>
      </c>
      <c r="G28" s="23">
        <f t="shared" si="3"/>
        <v>20136.8</v>
      </c>
      <c r="H28" s="23">
        <f t="shared" si="4"/>
        <v>32.87733333333334</v>
      </c>
      <c r="I28" s="26"/>
    </row>
    <row r="29" spans="1:9" s="1" customFormat="1" ht="39.75" customHeight="1" x14ac:dyDescent="0.2">
      <c r="A29" s="11"/>
      <c r="B29" s="19" t="s">
        <v>276</v>
      </c>
      <c r="C29" s="15">
        <v>14000</v>
      </c>
      <c r="D29" s="15">
        <v>14000</v>
      </c>
      <c r="E29" s="15"/>
      <c r="F29" s="23">
        <v>0</v>
      </c>
      <c r="G29" s="23">
        <f t="shared" si="3"/>
        <v>14000</v>
      </c>
      <c r="H29" s="16">
        <f t="shared" si="4"/>
        <v>0</v>
      </c>
      <c r="I29" s="26"/>
    </row>
    <row r="30" spans="1:9" s="1" customFormat="1" ht="39.75" customHeight="1" x14ac:dyDescent="0.2">
      <c r="A30" s="11"/>
      <c r="B30" s="19" t="s">
        <v>764</v>
      </c>
      <c r="C30" s="15">
        <v>156000</v>
      </c>
      <c r="D30" s="15">
        <v>156000</v>
      </c>
      <c r="E30" s="15"/>
      <c r="F30" s="23">
        <f>22980+31804</f>
        <v>54784</v>
      </c>
      <c r="G30" s="23">
        <f t="shared" si="3"/>
        <v>101216</v>
      </c>
      <c r="H30" s="23">
        <f t="shared" si="4"/>
        <v>35.117948717948721</v>
      </c>
      <c r="I30" s="26"/>
    </row>
    <row r="31" spans="1:9" s="1" customFormat="1" ht="21" customHeight="1" x14ac:dyDescent="0.2">
      <c r="A31" s="11"/>
      <c r="B31" s="19" t="s">
        <v>167</v>
      </c>
      <c r="C31" s="15">
        <v>8000</v>
      </c>
      <c r="D31" s="15">
        <v>8000</v>
      </c>
      <c r="E31" s="15"/>
      <c r="F31" s="23">
        <f>1750+5176</f>
        <v>6926</v>
      </c>
      <c r="G31" s="23">
        <f t="shared" si="3"/>
        <v>1074</v>
      </c>
      <c r="H31" s="23">
        <f t="shared" si="4"/>
        <v>86.575000000000003</v>
      </c>
      <c r="I31" s="26"/>
    </row>
    <row r="32" spans="1:9" s="1" customFormat="1" ht="60" customHeight="1" x14ac:dyDescent="0.2">
      <c r="A32" s="495" t="s">
        <v>168</v>
      </c>
      <c r="B32" s="498"/>
      <c r="C32" s="12">
        <f>C33+C34+C35+C36+C37+C38</f>
        <v>1104000</v>
      </c>
      <c r="D32" s="12">
        <f>D33+D34+D35+D36+D37+D38</f>
        <v>1104000</v>
      </c>
      <c r="E32" s="12"/>
      <c r="F32" s="21">
        <f>F33+F34+F35+F36+F37+F38</f>
        <v>625468.24</v>
      </c>
      <c r="G32" s="22">
        <f t="shared" si="3"/>
        <v>478531.76</v>
      </c>
      <c r="H32" s="22">
        <f t="shared" si="4"/>
        <v>56.654731884057973</v>
      </c>
      <c r="I32" s="25" t="s">
        <v>199</v>
      </c>
    </row>
    <row r="33" spans="1:9" s="1" customFormat="1" ht="59.25" customHeight="1" x14ac:dyDescent="0.2">
      <c r="A33" s="11"/>
      <c r="B33" s="19" t="s">
        <v>170</v>
      </c>
      <c r="C33" s="15">
        <v>180000</v>
      </c>
      <c r="D33" s="15">
        <v>180000</v>
      </c>
      <c r="E33" s="15"/>
      <c r="F33" s="23">
        <f>14032.26+15000+15000+15000+15000+10903.23+12133.33</f>
        <v>97068.82</v>
      </c>
      <c r="G33" s="23">
        <f t="shared" si="3"/>
        <v>82931.179999999993</v>
      </c>
      <c r="H33" s="23">
        <f t="shared" si="4"/>
        <v>53.927122222222224</v>
      </c>
      <c r="I33" s="26"/>
    </row>
    <row r="34" spans="1:9" s="1" customFormat="1" ht="58.5" customHeight="1" x14ac:dyDescent="0.2">
      <c r="A34" s="11"/>
      <c r="B34" s="19" t="s">
        <v>169</v>
      </c>
      <c r="C34" s="15">
        <v>168000</v>
      </c>
      <c r="D34" s="15">
        <v>168000</v>
      </c>
      <c r="E34" s="15"/>
      <c r="F34" s="23">
        <f>13096.77+14000+14000+14000+14000+14000+13066.66</f>
        <v>96163.430000000008</v>
      </c>
      <c r="G34" s="23">
        <f t="shared" si="3"/>
        <v>71836.569999999992</v>
      </c>
      <c r="H34" s="23">
        <f t="shared" si="4"/>
        <v>57.240136904761904</v>
      </c>
      <c r="I34" s="26"/>
    </row>
    <row r="35" spans="1:9" s="1" customFormat="1" ht="60" customHeight="1" x14ac:dyDescent="0.2">
      <c r="A35" s="11"/>
      <c r="B35" s="19" t="s">
        <v>171</v>
      </c>
      <c r="C35" s="15">
        <v>180000</v>
      </c>
      <c r="D35" s="15">
        <v>180000</v>
      </c>
      <c r="E35" s="15"/>
      <c r="F35" s="23">
        <f>14032.26+15000+15000+15000+15000+15000+13500</f>
        <v>102532.26000000001</v>
      </c>
      <c r="G35" s="23">
        <f t="shared" si="3"/>
        <v>77467.739999999991</v>
      </c>
      <c r="H35" s="23">
        <f t="shared" si="4"/>
        <v>56.962366666666668</v>
      </c>
      <c r="I35" s="26"/>
    </row>
    <row r="36" spans="1:9" s="1" customFormat="1" ht="39.75" customHeight="1" x14ac:dyDescent="0.2">
      <c r="A36" s="11"/>
      <c r="B36" s="19" t="s">
        <v>172</v>
      </c>
      <c r="C36" s="15">
        <v>168000</v>
      </c>
      <c r="D36" s="15">
        <v>168000</v>
      </c>
      <c r="E36" s="15"/>
      <c r="F36" s="23">
        <f>13096.77+14000+14000+14000+14000+14000+13066.66</f>
        <v>96163.430000000008</v>
      </c>
      <c r="G36" s="23">
        <f t="shared" si="3"/>
        <v>71836.569999999992</v>
      </c>
      <c r="H36" s="23">
        <f t="shared" si="4"/>
        <v>57.240136904761904</v>
      </c>
      <c r="I36" s="26"/>
    </row>
    <row r="37" spans="1:9" s="1" customFormat="1" ht="39.75" customHeight="1" x14ac:dyDescent="0.2">
      <c r="A37" s="11"/>
      <c r="B37" s="19" t="s">
        <v>173</v>
      </c>
      <c r="C37" s="15">
        <v>132000</v>
      </c>
      <c r="D37" s="15">
        <v>132000</v>
      </c>
      <c r="E37" s="15"/>
      <c r="F37" s="23">
        <f>10290.32+11000+11000+11000+11000+11000+10266.66</f>
        <v>75556.98</v>
      </c>
      <c r="G37" s="23">
        <f t="shared" si="3"/>
        <v>56443.020000000004</v>
      </c>
      <c r="H37" s="23">
        <f t="shared" si="4"/>
        <v>57.240136363636367</v>
      </c>
      <c r="I37" s="26"/>
    </row>
    <row r="38" spans="1:9" s="1" customFormat="1" ht="39.75" customHeight="1" x14ac:dyDescent="0.2">
      <c r="A38" s="11"/>
      <c r="B38" s="19" t="s">
        <v>174</v>
      </c>
      <c r="C38" s="15">
        <v>276000</v>
      </c>
      <c r="D38" s="15">
        <v>276000</v>
      </c>
      <c r="E38" s="15"/>
      <c r="F38" s="23">
        <f>10758.06+11500+11500+10758.6+11500+11500+11500+11500+11500+11500+11500+11500+10733.33+10733.33</f>
        <v>157983.31999999998</v>
      </c>
      <c r="G38" s="23">
        <f t="shared" si="3"/>
        <v>118016.68000000002</v>
      </c>
      <c r="H38" s="23">
        <f t="shared" si="4"/>
        <v>57.240333333333325</v>
      </c>
      <c r="I38" s="26"/>
    </row>
    <row r="39" spans="1:9" s="1" customFormat="1" ht="39.75" customHeight="1" x14ac:dyDescent="0.2">
      <c r="A39" s="495" t="s">
        <v>175</v>
      </c>
      <c r="B39" s="498"/>
      <c r="C39" s="12">
        <f>C40+C41</f>
        <v>100000</v>
      </c>
      <c r="D39" s="12">
        <f>D40+D41</f>
        <v>100000</v>
      </c>
      <c r="E39" s="12"/>
      <c r="F39" s="21">
        <f>F40+F41</f>
        <v>16970</v>
      </c>
      <c r="G39" s="22">
        <f t="shared" ref="G39:G76" si="5">C39-F39</f>
        <v>83030</v>
      </c>
      <c r="H39" s="22">
        <f t="shared" si="4"/>
        <v>16.97</v>
      </c>
      <c r="I39" s="25" t="s">
        <v>199</v>
      </c>
    </row>
    <row r="40" spans="1:9" s="1" customFormat="1" ht="39.75" customHeight="1" x14ac:dyDescent="0.2">
      <c r="A40" s="11"/>
      <c r="B40" s="19" t="s">
        <v>176</v>
      </c>
      <c r="C40" s="15">
        <v>70000</v>
      </c>
      <c r="D40" s="15">
        <v>70000</v>
      </c>
      <c r="E40" s="15"/>
      <c r="F40" s="23">
        <f>455+1155+7840+5420+1050+1050</f>
        <v>16970</v>
      </c>
      <c r="G40" s="23">
        <f t="shared" si="5"/>
        <v>53030</v>
      </c>
      <c r="H40" s="23">
        <f t="shared" si="4"/>
        <v>24.242857142857144</v>
      </c>
      <c r="I40" s="26"/>
    </row>
    <row r="41" spans="1:9" s="1" customFormat="1" ht="39.75" customHeight="1" x14ac:dyDescent="0.2">
      <c r="A41" s="11"/>
      <c r="B41" s="19" t="s">
        <v>177</v>
      </c>
      <c r="C41" s="15">
        <v>30000</v>
      </c>
      <c r="D41" s="15">
        <v>30000</v>
      </c>
      <c r="E41" s="15"/>
      <c r="F41" s="23"/>
      <c r="G41" s="23">
        <f t="shared" si="5"/>
        <v>30000</v>
      </c>
      <c r="H41" s="16">
        <f t="shared" si="4"/>
        <v>0</v>
      </c>
      <c r="I41" s="26"/>
    </row>
    <row r="42" spans="1:9" s="1" customFormat="1" ht="39.75" customHeight="1" x14ac:dyDescent="0.2">
      <c r="A42" s="495" t="s">
        <v>178</v>
      </c>
      <c r="B42" s="496"/>
      <c r="C42" s="12">
        <v>2000000</v>
      </c>
      <c r="D42" s="12">
        <v>2000000</v>
      </c>
      <c r="E42" s="12"/>
      <c r="F42" s="22">
        <f>F43+F44+F45+F46+F47+F48+F49+F50+F51+F52+F53+F54+F55</f>
        <v>476785</v>
      </c>
      <c r="G42" s="22">
        <f t="shared" si="5"/>
        <v>1523215</v>
      </c>
      <c r="H42" s="24">
        <f t="shared" si="4"/>
        <v>23.83925</v>
      </c>
      <c r="I42" s="25" t="s">
        <v>199</v>
      </c>
    </row>
    <row r="43" spans="1:9" s="1" customFormat="1" ht="35.25" customHeight="1" x14ac:dyDescent="0.2">
      <c r="A43" s="11"/>
      <c r="B43" s="19" t="s">
        <v>190</v>
      </c>
      <c r="C43" s="15">
        <v>73520</v>
      </c>
      <c r="D43" s="15">
        <v>73520</v>
      </c>
      <c r="E43" s="15"/>
      <c r="F43" s="23">
        <f>42020+12500+15000+3400</f>
        <v>72920</v>
      </c>
      <c r="G43" s="23">
        <f>C43-F43</f>
        <v>600</v>
      </c>
      <c r="H43" s="18">
        <v>100</v>
      </c>
      <c r="I43" s="26" t="s">
        <v>203</v>
      </c>
    </row>
    <row r="44" spans="1:9" s="1" customFormat="1" ht="56.25" customHeight="1" x14ac:dyDescent="0.2">
      <c r="A44" s="11"/>
      <c r="B44" s="19" t="s">
        <v>273</v>
      </c>
      <c r="C44" s="15">
        <f t="shared" ref="C44:C55" si="6">D44</f>
        <v>100000</v>
      </c>
      <c r="D44" s="15">
        <v>100000</v>
      </c>
      <c r="E44" s="15"/>
      <c r="F44" s="23"/>
      <c r="G44" s="23">
        <f>C44-F44</f>
        <v>100000</v>
      </c>
      <c r="H44" s="18">
        <f t="shared" ref="H44:H49" si="7">F44*100/C44</f>
        <v>0</v>
      </c>
      <c r="I44" s="26" t="s">
        <v>274</v>
      </c>
    </row>
    <row r="45" spans="1:9" s="1" customFormat="1" ht="93.75" x14ac:dyDescent="0.2">
      <c r="A45" s="11"/>
      <c r="B45" s="19" t="s">
        <v>388</v>
      </c>
      <c r="C45" s="15">
        <f t="shared" si="6"/>
        <v>70000</v>
      </c>
      <c r="D45" s="15">
        <v>70000</v>
      </c>
      <c r="E45" s="15"/>
      <c r="F45" s="23">
        <v>70000</v>
      </c>
      <c r="G45" s="23">
        <f t="shared" ref="G45:G55" si="8">D45-F45</f>
        <v>0</v>
      </c>
      <c r="H45" s="18">
        <f t="shared" si="7"/>
        <v>100</v>
      </c>
      <c r="I45" s="87" t="s">
        <v>199</v>
      </c>
    </row>
    <row r="46" spans="1:9" s="1" customFormat="1" ht="93.75" x14ac:dyDescent="0.2">
      <c r="A46" s="11"/>
      <c r="B46" s="19" t="s">
        <v>389</v>
      </c>
      <c r="C46" s="15">
        <f t="shared" si="6"/>
        <v>80000</v>
      </c>
      <c r="D46" s="15">
        <v>80000</v>
      </c>
      <c r="E46" s="15"/>
      <c r="F46" s="23">
        <v>80000</v>
      </c>
      <c r="G46" s="23">
        <f t="shared" si="8"/>
        <v>0</v>
      </c>
      <c r="H46" s="18">
        <f t="shared" si="7"/>
        <v>100</v>
      </c>
      <c r="I46" s="87" t="s">
        <v>199</v>
      </c>
    </row>
    <row r="47" spans="1:9" s="1" customFormat="1" ht="75" x14ac:dyDescent="0.2">
      <c r="A47" s="11"/>
      <c r="B47" s="19" t="s">
        <v>391</v>
      </c>
      <c r="C47" s="15">
        <f t="shared" si="6"/>
        <v>280000</v>
      </c>
      <c r="D47" s="15">
        <v>280000</v>
      </c>
      <c r="E47" s="15"/>
      <c r="F47" s="23">
        <v>40000</v>
      </c>
      <c r="G47" s="23">
        <f t="shared" si="8"/>
        <v>240000</v>
      </c>
      <c r="H47" s="18">
        <f t="shared" si="7"/>
        <v>14.285714285714286</v>
      </c>
      <c r="I47" s="26" t="s">
        <v>390</v>
      </c>
    </row>
    <row r="48" spans="1:9" s="1" customFormat="1" ht="56.25" customHeight="1" x14ac:dyDescent="0.2">
      <c r="A48" s="11"/>
      <c r="B48" s="19" t="s">
        <v>432</v>
      </c>
      <c r="C48" s="15">
        <f t="shared" si="6"/>
        <v>70000</v>
      </c>
      <c r="D48" s="15">
        <v>70000</v>
      </c>
      <c r="E48" s="15"/>
      <c r="F48" s="23">
        <f>52700+1000+10915+2677+2708</f>
        <v>70000</v>
      </c>
      <c r="G48" s="23">
        <f t="shared" si="8"/>
        <v>0</v>
      </c>
      <c r="H48" s="18">
        <f t="shared" si="7"/>
        <v>100</v>
      </c>
      <c r="I48" s="87" t="s">
        <v>392</v>
      </c>
    </row>
    <row r="49" spans="1:11" s="1" customFormat="1" ht="57" customHeight="1" x14ac:dyDescent="0.2">
      <c r="A49" s="11"/>
      <c r="B49" s="19" t="s">
        <v>593</v>
      </c>
      <c r="C49" s="15">
        <f t="shared" si="6"/>
        <v>46000</v>
      </c>
      <c r="D49" s="15">
        <v>46000</v>
      </c>
      <c r="E49" s="15"/>
      <c r="F49" s="23">
        <f>17000+5000</f>
        <v>22000</v>
      </c>
      <c r="G49" s="23">
        <f t="shared" si="8"/>
        <v>24000</v>
      </c>
      <c r="H49" s="18">
        <f t="shared" si="7"/>
        <v>47.826086956521742</v>
      </c>
      <c r="I49" s="87" t="s">
        <v>613</v>
      </c>
    </row>
    <row r="50" spans="1:11" s="1" customFormat="1" ht="56.25" customHeight="1" x14ac:dyDescent="0.2">
      <c r="A50" s="11"/>
      <c r="B50" s="19" t="s">
        <v>594</v>
      </c>
      <c r="C50" s="15">
        <f t="shared" si="6"/>
        <v>75380</v>
      </c>
      <c r="D50" s="15">
        <v>75380</v>
      </c>
      <c r="E50" s="15"/>
      <c r="F50" s="23">
        <v>13500</v>
      </c>
      <c r="G50" s="23">
        <f t="shared" si="8"/>
        <v>61880</v>
      </c>
      <c r="H50" s="18">
        <f>F50*100/D50</f>
        <v>17.909259750596977</v>
      </c>
      <c r="I50" s="87" t="s">
        <v>203</v>
      </c>
    </row>
    <row r="51" spans="1:11" s="1" customFormat="1" ht="69" x14ac:dyDescent="0.2">
      <c r="A51" s="11"/>
      <c r="B51" s="19" t="s">
        <v>614</v>
      </c>
      <c r="C51" s="15">
        <f t="shared" si="6"/>
        <v>91500</v>
      </c>
      <c r="D51" s="15">
        <v>91500</v>
      </c>
      <c r="E51" s="15"/>
      <c r="F51" s="23">
        <f>600+49600</f>
        <v>50200</v>
      </c>
      <c r="G51" s="23">
        <f t="shared" si="8"/>
        <v>41300</v>
      </c>
      <c r="H51" s="18">
        <f t="shared" ref="H51:H55" si="9">F51*100/D51</f>
        <v>54.863387978142079</v>
      </c>
      <c r="I51" s="87" t="s">
        <v>615</v>
      </c>
    </row>
    <row r="52" spans="1:11" s="1" customFormat="1" ht="51.75" x14ac:dyDescent="0.2">
      <c r="A52" s="11"/>
      <c r="B52" s="19" t="s">
        <v>621</v>
      </c>
      <c r="C52" s="15">
        <f t="shared" si="6"/>
        <v>450300</v>
      </c>
      <c r="D52" s="15">
        <v>450300</v>
      </c>
      <c r="E52" s="15"/>
      <c r="F52" s="23">
        <v>0</v>
      </c>
      <c r="G52" s="23">
        <f t="shared" si="8"/>
        <v>450300</v>
      </c>
      <c r="H52" s="18">
        <f t="shared" si="9"/>
        <v>0</v>
      </c>
      <c r="I52" s="87" t="s">
        <v>618</v>
      </c>
      <c r="K52" s="205"/>
    </row>
    <row r="53" spans="1:11" s="1" customFormat="1" ht="69" x14ac:dyDescent="0.2">
      <c r="A53" s="11"/>
      <c r="B53" s="19" t="s">
        <v>622</v>
      </c>
      <c r="C53" s="15">
        <f t="shared" si="6"/>
        <v>53300</v>
      </c>
      <c r="D53" s="15">
        <v>53300</v>
      </c>
      <c r="E53" s="15"/>
      <c r="F53" s="23">
        <f>31000+10000+3000+3850+2000+540</f>
        <v>50390</v>
      </c>
      <c r="G53" s="23">
        <f t="shared" si="8"/>
        <v>2910</v>
      </c>
      <c r="H53" s="18">
        <f t="shared" si="9"/>
        <v>94.540337711069412</v>
      </c>
      <c r="I53" s="87" t="s">
        <v>615</v>
      </c>
      <c r="K53" s="205"/>
    </row>
    <row r="54" spans="1:11" s="1" customFormat="1" ht="37.5" x14ac:dyDescent="0.2">
      <c r="A54" s="314"/>
      <c r="B54" s="19" t="s">
        <v>623</v>
      </c>
      <c r="C54" s="15">
        <f t="shared" si="6"/>
        <v>300000</v>
      </c>
      <c r="D54" s="15">
        <v>300000</v>
      </c>
      <c r="E54" s="15"/>
      <c r="F54" s="23">
        <v>0</v>
      </c>
      <c r="G54" s="23">
        <f t="shared" si="8"/>
        <v>300000</v>
      </c>
      <c r="H54" s="18">
        <f t="shared" si="9"/>
        <v>0</v>
      </c>
      <c r="I54" s="87" t="s">
        <v>199</v>
      </c>
      <c r="K54" s="205"/>
    </row>
    <row r="55" spans="1:11" s="1" customFormat="1" ht="56.25" x14ac:dyDescent="0.2">
      <c r="A55" s="314"/>
      <c r="B55" s="19" t="s">
        <v>682</v>
      </c>
      <c r="C55" s="15">
        <f t="shared" si="6"/>
        <v>12815</v>
      </c>
      <c r="D55" s="15">
        <v>12815</v>
      </c>
      <c r="E55" s="15"/>
      <c r="F55" s="23">
        <f>7775</f>
        <v>7775</v>
      </c>
      <c r="G55" s="23">
        <f t="shared" si="8"/>
        <v>5040</v>
      </c>
      <c r="H55" s="18">
        <f t="shared" si="9"/>
        <v>60.671088568084279</v>
      </c>
      <c r="I55" s="87" t="s">
        <v>618</v>
      </c>
      <c r="K55" s="205"/>
    </row>
    <row r="56" spans="1:11" s="1" customFormat="1" ht="59.25" customHeight="1" x14ac:dyDescent="0.2">
      <c r="A56" s="467" t="s">
        <v>179</v>
      </c>
      <c r="B56" s="468"/>
      <c r="C56" s="12">
        <f>C57+C59</f>
        <v>1643000</v>
      </c>
      <c r="D56" s="12">
        <f>D57+D59</f>
        <v>1643000</v>
      </c>
      <c r="E56" s="12"/>
      <c r="F56" s="21">
        <f>F57+F59</f>
        <v>812550</v>
      </c>
      <c r="G56" s="22">
        <f t="shared" si="5"/>
        <v>830450</v>
      </c>
      <c r="H56" s="22">
        <f t="shared" si="4"/>
        <v>49.455264759586122</v>
      </c>
      <c r="I56" s="25"/>
    </row>
    <row r="57" spans="1:11" s="1" customFormat="1" ht="39" customHeight="1" x14ac:dyDescent="0.2">
      <c r="A57" s="495" t="s">
        <v>180</v>
      </c>
      <c r="B57" s="496"/>
      <c r="C57" s="12">
        <f>D57</f>
        <v>143000</v>
      </c>
      <c r="D57" s="12">
        <f>D58</f>
        <v>143000</v>
      </c>
      <c r="E57" s="12"/>
      <c r="F57" s="22">
        <f>F58</f>
        <v>42600</v>
      </c>
      <c r="G57" s="22">
        <f t="shared" si="5"/>
        <v>100400</v>
      </c>
      <c r="H57" s="23">
        <f t="shared" si="4"/>
        <v>29.79020979020979</v>
      </c>
      <c r="I57" s="25" t="s">
        <v>199</v>
      </c>
    </row>
    <row r="58" spans="1:11" s="1" customFormat="1" ht="93.75" x14ac:dyDescent="0.2">
      <c r="A58" s="168"/>
      <c r="B58" s="19" t="s">
        <v>396</v>
      </c>
      <c r="C58" s="12"/>
      <c r="D58" s="12">
        <v>143000</v>
      </c>
      <c r="E58" s="12"/>
      <c r="F58" s="22">
        <f>11900+14600+16100</f>
        <v>42600</v>
      </c>
      <c r="G58" s="22"/>
      <c r="H58" s="23"/>
      <c r="I58" s="25"/>
    </row>
    <row r="59" spans="1:11" s="1" customFormat="1" ht="36.75" customHeight="1" x14ac:dyDescent="0.2">
      <c r="A59" s="495" t="s">
        <v>181</v>
      </c>
      <c r="B59" s="496"/>
      <c r="C59" s="12">
        <v>1500000</v>
      </c>
      <c r="D59" s="12">
        <v>1500000</v>
      </c>
      <c r="E59" s="12"/>
      <c r="F59" s="22">
        <f>F60+F61+F62+F63+F64+F65+F66</f>
        <v>769950</v>
      </c>
      <c r="G59" s="22">
        <f t="shared" si="5"/>
        <v>730050</v>
      </c>
      <c r="H59" s="22">
        <f t="shared" si="4"/>
        <v>51.33</v>
      </c>
      <c r="I59" s="25" t="s">
        <v>199</v>
      </c>
    </row>
    <row r="60" spans="1:11" s="1" customFormat="1" ht="39.75" customHeight="1" x14ac:dyDescent="0.2">
      <c r="A60" s="11"/>
      <c r="B60" s="19" t="s">
        <v>189</v>
      </c>
      <c r="C60" s="15">
        <f t="shared" ref="C60:C66" si="10">D60</f>
        <v>145000</v>
      </c>
      <c r="D60" s="15">
        <v>145000</v>
      </c>
      <c r="E60" s="15"/>
      <c r="F60" s="23">
        <f>1000+2100+32000+3100</f>
        <v>38200</v>
      </c>
      <c r="G60" s="23">
        <f t="shared" si="5"/>
        <v>106800</v>
      </c>
      <c r="H60" s="23">
        <f t="shared" si="4"/>
        <v>26.344827586206897</v>
      </c>
      <c r="I60" s="26" t="s">
        <v>275</v>
      </c>
    </row>
    <row r="61" spans="1:11" s="1" customFormat="1" ht="39.75" customHeight="1" x14ac:dyDescent="0.2">
      <c r="A61" s="11"/>
      <c r="B61" s="19" t="s">
        <v>393</v>
      </c>
      <c r="C61" s="15">
        <f t="shared" si="10"/>
        <v>240000</v>
      </c>
      <c r="D61" s="15">
        <v>240000</v>
      </c>
      <c r="E61" s="15"/>
      <c r="F61" s="23">
        <f>24000+24000+24000+24000+24000+24000</f>
        <v>144000</v>
      </c>
      <c r="G61" s="23">
        <f t="shared" ref="G61:G66" si="11">D61-F61</f>
        <v>96000</v>
      </c>
      <c r="H61" s="23">
        <f t="shared" si="4"/>
        <v>60</v>
      </c>
      <c r="I61" s="26" t="s">
        <v>292</v>
      </c>
    </row>
    <row r="62" spans="1:11" s="1" customFormat="1" ht="39.75" customHeight="1" x14ac:dyDescent="0.2">
      <c r="A62" s="11"/>
      <c r="B62" s="19" t="s">
        <v>394</v>
      </c>
      <c r="C62" s="15">
        <f t="shared" si="10"/>
        <v>90750</v>
      </c>
      <c r="D62" s="15">
        <v>90750</v>
      </c>
      <c r="E62" s="15"/>
      <c r="F62" s="23">
        <v>90750</v>
      </c>
      <c r="G62" s="23">
        <f t="shared" si="11"/>
        <v>0</v>
      </c>
      <c r="H62" s="23">
        <f t="shared" si="4"/>
        <v>100</v>
      </c>
      <c r="I62" s="26" t="s">
        <v>292</v>
      </c>
    </row>
    <row r="63" spans="1:11" s="1" customFormat="1" ht="39.75" customHeight="1" x14ac:dyDescent="0.2">
      <c r="A63" s="11"/>
      <c r="B63" s="19" t="s">
        <v>395</v>
      </c>
      <c r="C63" s="15">
        <f t="shared" si="10"/>
        <v>37000</v>
      </c>
      <c r="D63" s="15">
        <v>37000</v>
      </c>
      <c r="E63" s="15"/>
      <c r="F63" s="23">
        <v>37000</v>
      </c>
      <c r="G63" s="23">
        <f t="shared" si="11"/>
        <v>0</v>
      </c>
      <c r="H63" s="23">
        <f t="shared" si="4"/>
        <v>100</v>
      </c>
      <c r="I63" s="26" t="s">
        <v>275</v>
      </c>
    </row>
    <row r="64" spans="1:11" s="1" customFormat="1" ht="56.25" x14ac:dyDescent="0.2">
      <c r="A64" s="11"/>
      <c r="B64" s="19" t="s">
        <v>595</v>
      </c>
      <c r="C64" s="15">
        <f t="shared" si="10"/>
        <v>460000</v>
      </c>
      <c r="D64" s="15">
        <v>460000</v>
      </c>
      <c r="E64" s="15"/>
      <c r="F64" s="23">
        <v>460000</v>
      </c>
      <c r="G64" s="23">
        <f t="shared" si="11"/>
        <v>0</v>
      </c>
      <c r="H64" s="23">
        <f t="shared" si="4"/>
        <v>100</v>
      </c>
      <c r="I64" s="26" t="s">
        <v>292</v>
      </c>
    </row>
    <row r="65" spans="1:12" s="1" customFormat="1" ht="56.25" x14ac:dyDescent="0.2">
      <c r="A65" s="314"/>
      <c r="B65" s="19" t="s">
        <v>620</v>
      </c>
      <c r="C65" s="15">
        <f t="shared" si="10"/>
        <v>410000</v>
      </c>
      <c r="D65" s="15">
        <v>410000</v>
      </c>
      <c r="E65" s="15"/>
      <c r="F65" s="23"/>
      <c r="G65" s="23">
        <f t="shared" si="11"/>
        <v>410000</v>
      </c>
      <c r="H65" s="23">
        <f t="shared" si="4"/>
        <v>0</v>
      </c>
      <c r="I65" s="26" t="s">
        <v>292</v>
      </c>
      <c r="L65" s="205"/>
    </row>
    <row r="66" spans="1:12" s="1" customFormat="1" ht="75" x14ac:dyDescent="0.2">
      <c r="A66" s="314"/>
      <c r="B66" s="19" t="s">
        <v>681</v>
      </c>
      <c r="C66" s="15">
        <f t="shared" si="10"/>
        <v>45650</v>
      </c>
      <c r="D66" s="15">
        <v>45650</v>
      </c>
      <c r="E66" s="15"/>
      <c r="F66" s="23"/>
      <c r="G66" s="23">
        <f t="shared" si="11"/>
        <v>45650</v>
      </c>
      <c r="H66" s="23">
        <f t="shared" si="4"/>
        <v>0</v>
      </c>
      <c r="I66" s="26" t="s">
        <v>292</v>
      </c>
      <c r="L66" s="205"/>
    </row>
    <row r="67" spans="1:12" s="1" customFormat="1" ht="23.25" customHeight="1" x14ac:dyDescent="0.2">
      <c r="A67" s="467" t="s">
        <v>182</v>
      </c>
      <c r="B67" s="468"/>
      <c r="C67" s="12">
        <f>C68</f>
        <v>841000</v>
      </c>
      <c r="D67" s="12">
        <f>D68</f>
        <v>841000</v>
      </c>
      <c r="E67" s="12"/>
      <c r="F67" s="21">
        <f>F68</f>
        <v>350056.19999999995</v>
      </c>
      <c r="G67" s="22">
        <f t="shared" si="5"/>
        <v>490943.80000000005</v>
      </c>
      <c r="H67" s="22">
        <f t="shared" si="4"/>
        <v>41.623804994054687</v>
      </c>
      <c r="I67" s="25"/>
    </row>
    <row r="68" spans="1:12" s="1" customFormat="1" ht="39.75" customHeight="1" x14ac:dyDescent="0.2">
      <c r="A68" s="495" t="s">
        <v>183</v>
      </c>
      <c r="B68" s="496"/>
      <c r="C68" s="12">
        <f>C69+C70+C71+C72+C74+C73+C75+C76</f>
        <v>841000</v>
      </c>
      <c r="D68" s="12">
        <f>D69+D70+D71+D72+D74+D73+D75+D76</f>
        <v>841000</v>
      </c>
      <c r="E68" s="12"/>
      <c r="F68" s="21">
        <f>F69+F70+F71+F72+F74+F73+F75+F76</f>
        <v>350056.19999999995</v>
      </c>
      <c r="G68" s="22">
        <f t="shared" si="5"/>
        <v>490943.80000000005</v>
      </c>
      <c r="H68" s="22">
        <f t="shared" si="4"/>
        <v>41.623804994054687</v>
      </c>
      <c r="I68" s="25" t="s">
        <v>199</v>
      </c>
    </row>
    <row r="69" spans="1:12" s="1" customFormat="1" ht="39.75" customHeight="1" x14ac:dyDescent="0.2">
      <c r="A69" s="11"/>
      <c r="B69" s="19" t="s">
        <v>185</v>
      </c>
      <c r="C69" s="15">
        <v>408000</v>
      </c>
      <c r="D69" s="15">
        <v>408000</v>
      </c>
      <c r="E69" s="15"/>
      <c r="F69" s="23">
        <f>18980.6+25629.6+14045+23539.8</f>
        <v>82195</v>
      </c>
      <c r="G69" s="23">
        <f t="shared" si="5"/>
        <v>325805</v>
      </c>
      <c r="H69" s="23">
        <f t="shared" si="4"/>
        <v>20.145833333333332</v>
      </c>
      <c r="I69" s="26"/>
    </row>
    <row r="70" spans="1:12" s="1" customFormat="1" ht="21.75" customHeight="1" x14ac:dyDescent="0.2">
      <c r="A70" s="11"/>
      <c r="B70" s="19" t="s">
        <v>186</v>
      </c>
      <c r="C70" s="15">
        <v>60000</v>
      </c>
      <c r="D70" s="15">
        <v>60000</v>
      </c>
      <c r="E70" s="15"/>
      <c r="F70" s="23">
        <f>29890+14200</f>
        <v>44090</v>
      </c>
      <c r="G70" s="23">
        <f t="shared" si="5"/>
        <v>15910</v>
      </c>
      <c r="H70" s="23">
        <f t="shared" si="4"/>
        <v>73.483333333333334</v>
      </c>
      <c r="I70" s="26"/>
    </row>
    <row r="71" spans="1:12" s="1" customFormat="1" ht="18" customHeight="1" x14ac:dyDescent="0.2">
      <c r="A71" s="11"/>
      <c r="B71" s="19" t="s">
        <v>164</v>
      </c>
      <c r="C71" s="15">
        <v>30000</v>
      </c>
      <c r="D71" s="15">
        <v>30000</v>
      </c>
      <c r="E71" s="15"/>
      <c r="F71" s="23">
        <v>0</v>
      </c>
      <c r="G71" s="23">
        <f t="shared" si="5"/>
        <v>30000</v>
      </c>
      <c r="H71" s="16">
        <f t="shared" si="4"/>
        <v>0</v>
      </c>
      <c r="I71" s="26"/>
    </row>
    <row r="72" spans="1:12" s="1" customFormat="1" ht="18.75" customHeight="1" x14ac:dyDescent="0.2">
      <c r="A72" s="11"/>
      <c r="B72" s="19" t="s">
        <v>165</v>
      </c>
      <c r="C72" s="15">
        <v>50000</v>
      </c>
      <c r="D72" s="15">
        <v>50000</v>
      </c>
      <c r="E72" s="15"/>
      <c r="F72" s="23">
        <v>49950</v>
      </c>
      <c r="G72" s="23">
        <f t="shared" si="5"/>
        <v>50</v>
      </c>
      <c r="H72" s="23">
        <f t="shared" si="4"/>
        <v>99.9</v>
      </c>
      <c r="I72" s="26"/>
    </row>
    <row r="73" spans="1:12" s="1" customFormat="1" ht="18.75" customHeight="1" x14ac:dyDescent="0.2">
      <c r="A73" s="11"/>
      <c r="B73" s="19" t="s">
        <v>166</v>
      </c>
      <c r="C73" s="15">
        <v>50000</v>
      </c>
      <c r="D73" s="15">
        <v>50000</v>
      </c>
      <c r="E73" s="15"/>
      <c r="F73" s="23"/>
      <c r="G73" s="23">
        <f t="shared" si="5"/>
        <v>50000</v>
      </c>
      <c r="H73" s="16">
        <f t="shared" si="4"/>
        <v>0</v>
      </c>
      <c r="I73" s="26"/>
    </row>
    <row r="74" spans="1:12" s="1" customFormat="1" ht="60.75" customHeight="1" x14ac:dyDescent="0.2">
      <c r="A74" s="11"/>
      <c r="B74" s="19" t="s">
        <v>187</v>
      </c>
      <c r="C74" s="15">
        <v>30000</v>
      </c>
      <c r="D74" s="15">
        <v>30000</v>
      </c>
      <c r="E74" s="15"/>
      <c r="F74" s="23">
        <f>1680+1250+875+900+1575+840+1050+1155+1050+840+665+1330+1520+1050+1645+1050+630+735+350+770+440+805+420+875+875+700+1400</f>
        <v>26475</v>
      </c>
      <c r="G74" s="23">
        <f t="shared" si="5"/>
        <v>3525</v>
      </c>
      <c r="H74" s="23">
        <f t="shared" si="4"/>
        <v>88.25</v>
      </c>
      <c r="I74" s="26"/>
    </row>
    <row r="75" spans="1:12" s="1" customFormat="1" ht="39.75" customHeight="1" x14ac:dyDescent="0.2">
      <c r="A75" s="11"/>
      <c r="B75" s="19" t="s">
        <v>188</v>
      </c>
      <c r="C75" s="15">
        <v>156000</v>
      </c>
      <c r="D75" s="15">
        <v>156000</v>
      </c>
      <c r="E75" s="15"/>
      <c r="F75" s="23">
        <f>3787.2+22385+6469.2+2400+3589.6+8403.2+2951.6+6613.8+9456.8+8611.4+5452.4+3200+4936.4+8629.6</f>
        <v>96886.199999999983</v>
      </c>
      <c r="G75" s="23">
        <f t="shared" si="5"/>
        <v>59113.800000000017</v>
      </c>
      <c r="H75" s="23">
        <f t="shared" si="4"/>
        <v>62.106538461538449</v>
      </c>
      <c r="I75" s="26"/>
      <c r="K75" s="1" t="s">
        <v>279</v>
      </c>
    </row>
    <row r="76" spans="1:12" s="1" customFormat="1" ht="21" customHeight="1" x14ac:dyDescent="0.2">
      <c r="A76" s="11"/>
      <c r="B76" s="19" t="s">
        <v>167</v>
      </c>
      <c r="C76" s="15">
        <v>57000</v>
      </c>
      <c r="D76" s="15">
        <v>57000</v>
      </c>
      <c r="E76" s="15"/>
      <c r="F76" s="23">
        <f>1400+3360+2850+2850+40000</f>
        <v>50460</v>
      </c>
      <c r="G76" s="23">
        <f t="shared" si="5"/>
        <v>6540</v>
      </c>
      <c r="H76" s="23">
        <f t="shared" si="4"/>
        <v>88.526315789473685</v>
      </c>
      <c r="I76" s="26"/>
    </row>
  </sheetData>
  <mergeCells count="23">
    <mergeCell ref="A2:I2"/>
    <mergeCell ref="I4:I5"/>
    <mergeCell ref="A21:B21"/>
    <mergeCell ref="A4:A5"/>
    <mergeCell ref="B4:B5"/>
    <mergeCell ref="C4:E4"/>
    <mergeCell ref="F4:H4"/>
    <mergeCell ref="A57:B57"/>
    <mergeCell ref="A59:B59"/>
    <mergeCell ref="A67:B67"/>
    <mergeCell ref="A68:B68"/>
    <mergeCell ref="A1:I1"/>
    <mergeCell ref="A22:B22"/>
    <mergeCell ref="A23:B23"/>
    <mergeCell ref="A32:B32"/>
    <mergeCell ref="A39:B39"/>
    <mergeCell ref="A42:B42"/>
    <mergeCell ref="A56:B56"/>
    <mergeCell ref="A7:B7"/>
    <mergeCell ref="A8:B8"/>
    <mergeCell ref="A14:B14"/>
    <mergeCell ref="A15:B15"/>
    <mergeCell ref="A20:B20"/>
  </mergeCells>
  <pageMargins left="0.19685039370078741" right="0.19685039370078741" top="0.27559055118110237" bottom="0.27559055118110237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2" sqref="F12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60" customHeight="1" x14ac:dyDescent="0.2">
      <c r="A1" s="504" t="s">
        <v>285</v>
      </c>
      <c r="B1" s="505"/>
      <c r="C1" s="505"/>
      <c r="D1" s="505"/>
      <c r="E1" s="505"/>
      <c r="F1" s="505"/>
      <c r="G1" s="505"/>
    </row>
    <row r="2" spans="1:7" x14ac:dyDescent="0.2">
      <c r="A2" s="1"/>
      <c r="B2" s="1"/>
      <c r="C2" s="1"/>
      <c r="D2" s="1"/>
      <c r="E2" s="1"/>
      <c r="F2" s="1"/>
      <c r="G2" s="1"/>
    </row>
    <row r="3" spans="1:7" ht="21" x14ac:dyDescent="0.2">
      <c r="A3" s="506" t="s">
        <v>286</v>
      </c>
      <c r="B3" s="506" t="s">
        <v>79</v>
      </c>
      <c r="C3" s="506" t="s">
        <v>287</v>
      </c>
      <c r="D3" s="506" t="s">
        <v>288</v>
      </c>
      <c r="E3" s="506"/>
      <c r="F3" s="506"/>
      <c r="G3" s="506" t="s">
        <v>0</v>
      </c>
    </row>
    <row r="4" spans="1:7" ht="21" x14ac:dyDescent="0.2">
      <c r="A4" s="506"/>
      <c r="B4" s="506"/>
      <c r="C4" s="506"/>
      <c r="D4" s="32" t="s">
        <v>289</v>
      </c>
      <c r="E4" s="32" t="s">
        <v>76</v>
      </c>
      <c r="F4" s="32" t="s">
        <v>290</v>
      </c>
      <c r="G4" s="506"/>
    </row>
    <row r="5" spans="1:7" ht="45" customHeight="1" x14ac:dyDescent="0.35">
      <c r="A5" s="33">
        <v>1</v>
      </c>
      <c r="B5" s="34" t="s">
        <v>291</v>
      </c>
      <c r="C5" s="35">
        <v>250000</v>
      </c>
      <c r="D5" s="36">
        <f>12161.29+13000+13000+13000+13000+13000+12133.33</f>
        <v>89294.62000000001</v>
      </c>
      <c r="E5" s="37">
        <f>D5*100/C5</f>
        <v>35.717848000000011</v>
      </c>
      <c r="F5" s="38">
        <f>C5-D5</f>
        <v>160705.38</v>
      </c>
      <c r="G5" s="39" t="s">
        <v>292</v>
      </c>
    </row>
    <row r="6" spans="1:7" ht="21" x14ac:dyDescent="0.35">
      <c r="A6" s="40"/>
      <c r="B6" s="40" t="s">
        <v>114</v>
      </c>
      <c r="C6" s="41">
        <f>C5</f>
        <v>250000</v>
      </c>
      <c r="D6" s="41">
        <f>D5</f>
        <v>89294.62000000001</v>
      </c>
      <c r="E6" s="42">
        <f>E5</f>
        <v>35.717848000000011</v>
      </c>
      <c r="F6" s="41">
        <f>F5</f>
        <v>160705.38</v>
      </c>
      <c r="G6" s="43"/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51" zoomScale="90" zoomScaleNormal="90" workbookViewId="0">
      <selection activeCell="G160" sqref="G160"/>
    </sheetView>
  </sheetViews>
  <sheetFormatPr defaultRowHeight="14.25" x14ac:dyDescent="0.2"/>
  <cols>
    <col min="1" max="1" width="3" style="1" customWidth="1"/>
    <col min="2" max="2" width="45.75" style="1" customWidth="1"/>
    <col min="3" max="3" width="12.125" style="1" customWidth="1"/>
    <col min="4" max="4" width="11.375" style="1" customWidth="1"/>
    <col min="5" max="5" width="12.5" style="1" customWidth="1"/>
    <col min="6" max="6" width="9" style="1" customWidth="1"/>
    <col min="7" max="7" width="9.125" style="1" customWidth="1"/>
    <col min="8" max="8" width="11.75" style="1" customWidth="1"/>
    <col min="9" max="9" width="11.625" style="1" customWidth="1"/>
    <col min="10" max="10" width="17.625" style="1" customWidth="1"/>
    <col min="11" max="16384" width="9" style="1"/>
  </cols>
  <sheetData>
    <row r="1" spans="1:10" ht="23.25" customHeight="1" x14ac:dyDescent="0.2">
      <c r="A1" s="472" t="s">
        <v>200</v>
      </c>
      <c r="B1" s="472"/>
      <c r="C1" s="472"/>
      <c r="D1" s="472"/>
      <c r="E1" s="472"/>
      <c r="F1" s="472"/>
      <c r="G1" s="472"/>
      <c r="H1" s="472"/>
      <c r="I1" s="472"/>
    </row>
    <row r="2" spans="1:10" ht="23.25" customHeight="1" x14ac:dyDescent="0.2">
      <c r="A2" s="472" t="s">
        <v>294</v>
      </c>
      <c r="B2" s="472"/>
      <c r="C2" s="472"/>
      <c r="D2" s="472"/>
      <c r="E2" s="472"/>
      <c r="F2" s="472"/>
      <c r="G2" s="472"/>
      <c r="H2" s="472"/>
      <c r="I2" s="472"/>
    </row>
    <row r="3" spans="1:10" ht="17.25" hidden="1" customHeight="1" x14ac:dyDescent="0.2">
      <c r="A3" s="473"/>
      <c r="B3" s="473"/>
      <c r="C3" s="473"/>
      <c r="D3" s="473"/>
      <c r="E3" s="473"/>
      <c r="F3" s="473"/>
      <c r="G3" s="473"/>
      <c r="H3" s="473"/>
      <c r="I3" s="473"/>
    </row>
    <row r="4" spans="1:10" ht="19.5" customHeight="1" x14ac:dyDescent="0.45">
      <c r="A4" s="20"/>
      <c r="B4" s="20"/>
      <c r="C4" s="20"/>
      <c r="D4" s="20"/>
      <c r="E4" s="20"/>
      <c r="F4" s="20"/>
      <c r="G4" s="20"/>
      <c r="H4" s="509" t="s">
        <v>609</v>
      </c>
      <c r="I4" s="509"/>
      <c r="J4" s="509"/>
    </row>
    <row r="5" spans="1:10" ht="19.5" customHeight="1" x14ac:dyDescent="0.2">
      <c r="A5" s="474" t="s">
        <v>78</v>
      </c>
      <c r="B5" s="474" t="s">
        <v>79</v>
      </c>
      <c r="C5" s="474" t="s">
        <v>195</v>
      </c>
      <c r="D5" s="474"/>
      <c r="E5" s="474"/>
      <c r="F5" s="477" t="s">
        <v>192</v>
      </c>
      <c r="G5" s="478"/>
      <c r="H5" s="478"/>
      <c r="I5" s="475" t="s">
        <v>0</v>
      </c>
      <c r="J5" s="507" t="s">
        <v>434</v>
      </c>
    </row>
    <row r="6" spans="1:10" ht="42.75" customHeight="1" x14ac:dyDescent="0.2">
      <c r="A6" s="474"/>
      <c r="B6" s="474"/>
      <c r="C6" s="214" t="s">
        <v>114</v>
      </c>
      <c r="D6" s="214" t="s">
        <v>83</v>
      </c>
      <c r="E6" s="214" t="s">
        <v>82</v>
      </c>
      <c r="F6" s="214" t="s">
        <v>196</v>
      </c>
      <c r="G6" s="214" t="s">
        <v>73</v>
      </c>
      <c r="H6" s="214" t="s">
        <v>194</v>
      </c>
      <c r="I6" s="476"/>
      <c r="J6" s="508"/>
    </row>
    <row r="7" spans="1:10" ht="23.25" customHeight="1" x14ac:dyDescent="0.2">
      <c r="A7" s="481" t="s">
        <v>1</v>
      </c>
      <c r="B7" s="481"/>
      <c r="C7" s="73">
        <f>D7+E7</f>
        <v>185998300</v>
      </c>
      <c r="D7" s="74">
        <f>D8+D115+D130+D140+D152+D153</f>
        <v>49056600</v>
      </c>
      <c r="E7" s="74">
        <f>E8+E115+E130+E140+E153</f>
        <v>136941700</v>
      </c>
      <c r="F7" s="12"/>
      <c r="G7" s="12"/>
      <c r="H7" s="12"/>
      <c r="I7" s="76"/>
      <c r="J7" s="219"/>
    </row>
    <row r="8" spans="1:10" ht="23.25" customHeight="1" x14ac:dyDescent="0.2">
      <c r="A8" s="481" t="s">
        <v>2</v>
      </c>
      <c r="B8" s="481"/>
      <c r="C8" s="73">
        <f>C9+C40+C79+C96+C106+C109</f>
        <v>151220500</v>
      </c>
      <c r="D8" s="73">
        <f>D9+D40+D79+D96+D106+D109</f>
        <v>20649300</v>
      </c>
      <c r="E8" s="73">
        <f>E9+E40+E79+E96+E106+E109</f>
        <v>130571200</v>
      </c>
      <c r="F8" s="215"/>
      <c r="G8" s="12"/>
      <c r="H8" s="12"/>
      <c r="I8" s="78"/>
      <c r="J8" s="220"/>
    </row>
    <row r="9" spans="1:10" ht="18.75" customHeight="1" x14ac:dyDescent="0.2">
      <c r="A9" s="467" t="s">
        <v>204</v>
      </c>
      <c r="B9" s="468"/>
      <c r="C9" s="73">
        <f>E9</f>
        <v>83276300</v>
      </c>
      <c r="D9" s="73">
        <f t="shared" ref="D9:E9" si="0">D10+D31+D34</f>
        <v>0</v>
      </c>
      <c r="E9" s="73">
        <f t="shared" si="0"/>
        <v>83276300</v>
      </c>
      <c r="F9" s="215"/>
      <c r="G9" s="79"/>
      <c r="H9" s="79"/>
      <c r="I9" s="78"/>
      <c r="J9" s="219"/>
    </row>
    <row r="10" spans="1:10" ht="21" customHeight="1" x14ac:dyDescent="0.2">
      <c r="A10" s="467" t="s">
        <v>205</v>
      </c>
      <c r="B10" s="468"/>
      <c r="C10" s="73">
        <f>E10</f>
        <v>71682600</v>
      </c>
      <c r="D10" s="73">
        <f t="shared" ref="D10:E10" si="1">D11+D12+D13+D14+D15+D16+D17+D18+D19+D20+D21+D22+D23+D24+D25+D26+D27+D28+D29+D30</f>
        <v>0</v>
      </c>
      <c r="E10" s="73">
        <f t="shared" si="1"/>
        <v>71682600</v>
      </c>
      <c r="F10" s="215"/>
      <c r="G10" s="79"/>
      <c r="H10" s="79"/>
      <c r="I10" s="81"/>
      <c r="J10" s="219"/>
    </row>
    <row r="11" spans="1:10" ht="41.25" customHeight="1" x14ac:dyDescent="0.2">
      <c r="A11" s="82">
        <v>1</v>
      </c>
      <c r="B11" s="83" t="s">
        <v>232</v>
      </c>
      <c r="C11" s="45">
        <f>E11</f>
        <v>1248000</v>
      </c>
      <c r="D11" s="84">
        <v>0</v>
      </c>
      <c r="E11" s="85">
        <f>1507000-259000</f>
        <v>1248000</v>
      </c>
      <c r="F11" s="86" t="s">
        <v>360</v>
      </c>
      <c r="G11" s="26" t="s">
        <v>201</v>
      </c>
      <c r="H11" s="87" t="s">
        <v>314</v>
      </c>
      <c r="I11" s="90" t="s">
        <v>3</v>
      </c>
      <c r="J11" s="224" t="s">
        <v>442</v>
      </c>
    </row>
    <row r="12" spans="1:10" ht="40.5" customHeight="1" x14ac:dyDescent="0.25">
      <c r="A12" s="82">
        <v>2</v>
      </c>
      <c r="B12" s="83" t="s">
        <v>233</v>
      </c>
      <c r="C12" s="45">
        <f t="shared" ref="C12:C30" si="2">E12</f>
        <v>7776000</v>
      </c>
      <c r="D12" s="84">
        <v>0</v>
      </c>
      <c r="E12" s="91">
        <f>8000000-224000</f>
        <v>7776000</v>
      </c>
      <c r="F12" s="86" t="s">
        <v>360</v>
      </c>
      <c r="G12" s="26" t="s">
        <v>280</v>
      </c>
      <c r="H12" s="87" t="s">
        <v>336</v>
      </c>
      <c r="I12" s="90" t="s">
        <v>3</v>
      </c>
      <c r="J12" s="221"/>
    </row>
    <row r="13" spans="1:10" ht="57.75" customHeight="1" x14ac:dyDescent="0.25">
      <c r="A13" s="82">
        <v>3</v>
      </c>
      <c r="B13" s="83" t="s">
        <v>234</v>
      </c>
      <c r="C13" s="45">
        <f t="shared" si="2"/>
        <v>3740000</v>
      </c>
      <c r="D13" s="84">
        <v>0</v>
      </c>
      <c r="E13" s="91">
        <f>3753100-13100</f>
        <v>3740000</v>
      </c>
      <c r="F13" s="86" t="s">
        <v>400</v>
      </c>
      <c r="G13" s="87" t="s">
        <v>297</v>
      </c>
      <c r="H13" s="87" t="s">
        <v>313</v>
      </c>
      <c r="I13" s="90" t="s">
        <v>4</v>
      </c>
      <c r="J13" s="221"/>
    </row>
    <row r="14" spans="1:10" ht="58.5" customHeight="1" x14ac:dyDescent="0.25">
      <c r="A14" s="82">
        <v>4</v>
      </c>
      <c r="B14" s="83" t="s">
        <v>235</v>
      </c>
      <c r="C14" s="45">
        <f t="shared" si="2"/>
        <v>3835000</v>
      </c>
      <c r="D14" s="84">
        <v>0</v>
      </c>
      <c r="E14" s="91">
        <f>3850000-15000</f>
        <v>3835000</v>
      </c>
      <c r="F14" s="86" t="s">
        <v>400</v>
      </c>
      <c r="G14" s="87" t="s">
        <v>297</v>
      </c>
      <c r="H14" s="87" t="s">
        <v>315</v>
      </c>
      <c r="I14" s="90" t="s">
        <v>4</v>
      </c>
      <c r="J14" s="221"/>
    </row>
    <row r="15" spans="1:10" ht="41.25" customHeight="1" x14ac:dyDescent="0.25">
      <c r="A15" s="82">
        <v>5</v>
      </c>
      <c r="B15" s="83" t="s">
        <v>236</v>
      </c>
      <c r="C15" s="45">
        <f t="shared" si="2"/>
        <v>8800000</v>
      </c>
      <c r="D15" s="84">
        <v>0</v>
      </c>
      <c r="E15" s="91">
        <f>8820000-20000</f>
        <v>8800000</v>
      </c>
      <c r="F15" s="86" t="s">
        <v>400</v>
      </c>
      <c r="G15" s="26" t="s">
        <v>338</v>
      </c>
      <c r="H15" s="87" t="s">
        <v>361</v>
      </c>
      <c r="I15" s="90" t="s">
        <v>5</v>
      </c>
      <c r="J15" s="221"/>
    </row>
    <row r="16" spans="1:10" ht="60" customHeight="1" x14ac:dyDescent="0.25">
      <c r="A16" s="82">
        <v>6</v>
      </c>
      <c r="B16" s="83" t="s">
        <v>237</v>
      </c>
      <c r="C16" s="45">
        <f t="shared" si="2"/>
        <v>2390000</v>
      </c>
      <c r="D16" s="84">
        <v>0</v>
      </c>
      <c r="E16" s="91">
        <f>2400000-10000</f>
        <v>2390000</v>
      </c>
      <c r="F16" s="86" t="s">
        <v>400</v>
      </c>
      <c r="G16" s="87" t="s">
        <v>202</v>
      </c>
      <c r="H16" s="87" t="s">
        <v>362</v>
      </c>
      <c r="I16" s="90" t="s">
        <v>5</v>
      </c>
      <c r="J16" s="221"/>
    </row>
    <row r="17" spans="1:10" ht="37.5" x14ac:dyDescent="0.25">
      <c r="A17" s="82">
        <v>7</v>
      </c>
      <c r="B17" s="83" t="s">
        <v>6</v>
      </c>
      <c r="C17" s="45">
        <f t="shared" si="2"/>
        <v>1000000</v>
      </c>
      <c r="D17" s="84">
        <v>0</v>
      </c>
      <c r="E17" s="91">
        <f>1476000-476000</f>
        <v>1000000</v>
      </c>
      <c r="F17" s="86" t="s">
        <v>400</v>
      </c>
      <c r="G17" s="87" t="s">
        <v>280</v>
      </c>
      <c r="H17" s="26" t="s">
        <v>298</v>
      </c>
      <c r="I17" s="90" t="s">
        <v>7</v>
      </c>
      <c r="J17" s="221"/>
    </row>
    <row r="18" spans="1:10" ht="37.5" x14ac:dyDescent="0.25">
      <c r="A18" s="82">
        <v>8</v>
      </c>
      <c r="B18" s="83" t="s">
        <v>238</v>
      </c>
      <c r="C18" s="45">
        <f t="shared" si="2"/>
        <v>3470000</v>
      </c>
      <c r="D18" s="84">
        <v>0</v>
      </c>
      <c r="E18" s="91">
        <f>3527000-57000</f>
        <v>3470000</v>
      </c>
      <c r="F18" s="86" t="s">
        <v>400</v>
      </c>
      <c r="G18" s="87" t="s">
        <v>202</v>
      </c>
      <c r="H18" s="26" t="s">
        <v>316</v>
      </c>
      <c r="I18" s="90" t="s">
        <v>7</v>
      </c>
      <c r="J18" s="221"/>
    </row>
    <row r="19" spans="1:10" ht="56.25" x14ac:dyDescent="0.2">
      <c r="A19" s="82">
        <v>9</v>
      </c>
      <c r="B19" s="83" t="s">
        <v>239</v>
      </c>
      <c r="C19" s="45">
        <f t="shared" si="2"/>
        <v>2729900</v>
      </c>
      <c r="D19" s="84">
        <v>0</v>
      </c>
      <c r="E19" s="85">
        <v>2729900</v>
      </c>
      <c r="F19" s="86" t="s">
        <v>360</v>
      </c>
      <c r="G19" s="87" t="s">
        <v>280</v>
      </c>
      <c r="H19" s="87" t="s">
        <v>364</v>
      </c>
      <c r="I19" s="90" t="s">
        <v>7</v>
      </c>
      <c r="J19" s="225" t="s">
        <v>436</v>
      </c>
    </row>
    <row r="20" spans="1:10" ht="56.25" x14ac:dyDescent="0.25">
      <c r="A20" s="82">
        <v>10</v>
      </c>
      <c r="B20" s="83" t="s">
        <v>240</v>
      </c>
      <c r="C20" s="45">
        <f t="shared" si="2"/>
        <v>2211000</v>
      </c>
      <c r="D20" s="84">
        <v>0</v>
      </c>
      <c r="E20" s="91">
        <v>2211000</v>
      </c>
      <c r="F20" s="86" t="s">
        <v>400</v>
      </c>
      <c r="G20" s="87" t="s">
        <v>202</v>
      </c>
      <c r="H20" s="87" t="s">
        <v>364</v>
      </c>
      <c r="I20" s="90" t="s">
        <v>7</v>
      </c>
      <c r="J20" s="221"/>
    </row>
    <row r="21" spans="1:10" ht="37.5" x14ac:dyDescent="0.25">
      <c r="A21" s="82">
        <v>11</v>
      </c>
      <c r="B21" s="93" t="s">
        <v>8</v>
      </c>
      <c r="C21" s="45">
        <f t="shared" si="2"/>
        <v>2295700</v>
      </c>
      <c r="D21" s="84">
        <v>0</v>
      </c>
      <c r="E21" s="91">
        <v>2295700</v>
      </c>
      <c r="F21" s="86" t="s">
        <v>400</v>
      </c>
      <c r="G21" s="87" t="s">
        <v>202</v>
      </c>
      <c r="H21" s="87" t="s">
        <v>364</v>
      </c>
      <c r="I21" s="90" t="s">
        <v>7</v>
      </c>
      <c r="J21" s="221"/>
    </row>
    <row r="22" spans="1:10" ht="37.5" x14ac:dyDescent="0.25">
      <c r="A22" s="82">
        <v>12</v>
      </c>
      <c r="B22" s="93" t="s">
        <v>241</v>
      </c>
      <c r="C22" s="45">
        <f t="shared" si="2"/>
        <v>1686000</v>
      </c>
      <c r="D22" s="84">
        <v>0</v>
      </c>
      <c r="E22" s="91">
        <v>1686000</v>
      </c>
      <c r="F22" s="86" t="s">
        <v>400</v>
      </c>
      <c r="G22" s="87" t="s">
        <v>202</v>
      </c>
      <c r="H22" s="87" t="s">
        <v>364</v>
      </c>
      <c r="I22" s="90" t="s">
        <v>7</v>
      </c>
      <c r="J22" s="221"/>
    </row>
    <row r="23" spans="1:10" ht="37.5" x14ac:dyDescent="0.2">
      <c r="A23" s="82">
        <v>13</v>
      </c>
      <c r="B23" s="93" t="s">
        <v>115</v>
      </c>
      <c r="C23" s="45">
        <f t="shared" si="2"/>
        <v>3150000</v>
      </c>
      <c r="D23" s="84">
        <v>0</v>
      </c>
      <c r="E23" s="91">
        <f>3685800-535800</f>
        <v>3150000</v>
      </c>
      <c r="F23" s="86" t="s">
        <v>360</v>
      </c>
      <c r="G23" s="87" t="s">
        <v>202</v>
      </c>
      <c r="H23" s="87" t="s">
        <v>317</v>
      </c>
      <c r="I23" s="26" t="s">
        <v>9</v>
      </c>
      <c r="J23" s="224" t="s">
        <v>437</v>
      </c>
    </row>
    <row r="24" spans="1:10" ht="56.25" x14ac:dyDescent="0.25">
      <c r="A24" s="82">
        <v>14</v>
      </c>
      <c r="B24" s="93" t="s">
        <v>242</v>
      </c>
      <c r="C24" s="45">
        <f t="shared" si="2"/>
        <v>2250000</v>
      </c>
      <c r="D24" s="84">
        <v>0</v>
      </c>
      <c r="E24" s="91">
        <f>2945500-695500</f>
        <v>2250000</v>
      </c>
      <c r="F24" s="86" t="s">
        <v>360</v>
      </c>
      <c r="G24" s="87" t="s">
        <v>202</v>
      </c>
      <c r="H24" s="87" t="s">
        <v>363</v>
      </c>
      <c r="I24" s="90" t="s">
        <v>9</v>
      </c>
      <c r="J24" s="221"/>
    </row>
    <row r="25" spans="1:10" ht="37.5" x14ac:dyDescent="0.25">
      <c r="A25" s="82">
        <v>15</v>
      </c>
      <c r="B25" s="93" t="s">
        <v>243</v>
      </c>
      <c r="C25" s="45">
        <f t="shared" si="2"/>
        <v>1900000</v>
      </c>
      <c r="D25" s="84">
        <v>0</v>
      </c>
      <c r="E25" s="91">
        <f>2000000-100000</f>
        <v>1900000</v>
      </c>
      <c r="F25" s="86" t="s">
        <v>400</v>
      </c>
      <c r="G25" s="87" t="s">
        <v>202</v>
      </c>
      <c r="H25" s="87" t="s">
        <v>318</v>
      </c>
      <c r="I25" s="90" t="s">
        <v>9</v>
      </c>
      <c r="J25" s="221"/>
    </row>
    <row r="26" spans="1:10" ht="37.5" x14ac:dyDescent="0.25">
      <c r="A26" s="82">
        <v>16</v>
      </c>
      <c r="B26" s="93" t="s">
        <v>244</v>
      </c>
      <c r="C26" s="45">
        <f t="shared" si="2"/>
        <v>2890000</v>
      </c>
      <c r="D26" s="84">
        <v>0</v>
      </c>
      <c r="E26" s="91">
        <f>3400000-510000</f>
        <v>2890000</v>
      </c>
      <c r="F26" s="86" t="s">
        <v>400</v>
      </c>
      <c r="G26" s="86" t="s">
        <v>281</v>
      </c>
      <c r="H26" s="87" t="s">
        <v>319</v>
      </c>
      <c r="I26" s="90" t="s">
        <v>9</v>
      </c>
      <c r="J26" s="221"/>
    </row>
    <row r="27" spans="1:10" ht="37.5" x14ac:dyDescent="0.25">
      <c r="A27" s="82">
        <v>17</v>
      </c>
      <c r="B27" s="93" t="s">
        <v>245</v>
      </c>
      <c r="C27" s="45">
        <f t="shared" si="2"/>
        <v>3090000</v>
      </c>
      <c r="D27" s="84">
        <v>0</v>
      </c>
      <c r="E27" s="91">
        <v>3090000</v>
      </c>
      <c r="F27" s="86" t="s">
        <v>360</v>
      </c>
      <c r="G27" s="87" t="s">
        <v>365</v>
      </c>
      <c r="H27" s="87" t="s">
        <v>366</v>
      </c>
      <c r="I27" s="90" t="s">
        <v>10</v>
      </c>
      <c r="J27" s="221"/>
    </row>
    <row r="28" spans="1:10" ht="37.5" x14ac:dyDescent="0.25">
      <c r="A28" s="82">
        <v>18</v>
      </c>
      <c r="B28" s="93" t="s">
        <v>246</v>
      </c>
      <c r="C28" s="45">
        <f t="shared" si="2"/>
        <v>3296000</v>
      </c>
      <c r="D28" s="84">
        <v>0</v>
      </c>
      <c r="E28" s="91">
        <v>3296000</v>
      </c>
      <c r="F28" s="86" t="s">
        <v>360</v>
      </c>
      <c r="G28" s="87" t="s">
        <v>365</v>
      </c>
      <c r="H28" s="87" t="s">
        <v>366</v>
      </c>
      <c r="I28" s="90" t="s">
        <v>10</v>
      </c>
      <c r="J28" s="221"/>
    </row>
    <row r="29" spans="1:10" ht="39.75" customHeight="1" x14ac:dyDescent="0.25">
      <c r="A29" s="82">
        <v>19</v>
      </c>
      <c r="B29" s="93" t="s">
        <v>247</v>
      </c>
      <c r="C29" s="45">
        <f t="shared" si="2"/>
        <v>8775000</v>
      </c>
      <c r="D29" s="84">
        <v>0</v>
      </c>
      <c r="E29" s="91">
        <v>8775000</v>
      </c>
      <c r="F29" s="86" t="s">
        <v>360</v>
      </c>
      <c r="G29" s="87" t="s">
        <v>365</v>
      </c>
      <c r="H29" s="87" t="s">
        <v>366</v>
      </c>
      <c r="I29" s="90" t="s">
        <v>10</v>
      </c>
      <c r="J29" s="221"/>
    </row>
    <row r="30" spans="1:10" ht="37.5" customHeight="1" x14ac:dyDescent="0.25">
      <c r="A30" s="82">
        <v>20</v>
      </c>
      <c r="B30" s="93" t="s">
        <v>248</v>
      </c>
      <c r="C30" s="45">
        <f t="shared" si="2"/>
        <v>5150000</v>
      </c>
      <c r="D30" s="84">
        <v>0</v>
      </c>
      <c r="E30" s="91">
        <v>5150000</v>
      </c>
      <c r="F30" s="86" t="s">
        <v>360</v>
      </c>
      <c r="G30" s="87" t="s">
        <v>365</v>
      </c>
      <c r="H30" s="87" t="s">
        <v>366</v>
      </c>
      <c r="I30" s="90" t="s">
        <v>10</v>
      </c>
      <c r="J30" s="221"/>
    </row>
    <row r="31" spans="1:10" ht="21" x14ac:dyDescent="0.25">
      <c r="A31" s="469" t="s">
        <v>206</v>
      </c>
      <c r="B31" s="469"/>
      <c r="C31" s="45">
        <f>E31</f>
        <v>3933000</v>
      </c>
      <c r="D31" s="94">
        <v>0</v>
      </c>
      <c r="E31" s="94">
        <f>E32+E33</f>
        <v>3933000</v>
      </c>
      <c r="F31" s="95"/>
      <c r="G31" s="115"/>
      <c r="H31" s="115"/>
      <c r="I31" s="26"/>
      <c r="J31" s="221"/>
    </row>
    <row r="32" spans="1:10" ht="37.5" x14ac:dyDescent="0.25">
      <c r="A32" s="82">
        <v>21</v>
      </c>
      <c r="B32" s="83" t="s">
        <v>249</v>
      </c>
      <c r="C32" s="45">
        <f>E32</f>
        <v>1210000</v>
      </c>
      <c r="D32" s="84">
        <v>0</v>
      </c>
      <c r="E32" s="91">
        <v>1210000</v>
      </c>
      <c r="F32" s="92" t="s">
        <v>400</v>
      </c>
      <c r="G32" s="87"/>
      <c r="H32" s="87"/>
      <c r="I32" s="90" t="s">
        <v>7</v>
      </c>
      <c r="J32" s="221"/>
    </row>
    <row r="33" spans="1:10" ht="37.5" x14ac:dyDescent="0.25">
      <c r="A33" s="82">
        <v>22</v>
      </c>
      <c r="B33" s="93" t="s">
        <v>250</v>
      </c>
      <c r="C33" s="45">
        <f>E33</f>
        <v>2723000</v>
      </c>
      <c r="D33" s="84">
        <v>0</v>
      </c>
      <c r="E33" s="91">
        <v>2723000</v>
      </c>
      <c r="F33" s="86" t="s">
        <v>360</v>
      </c>
      <c r="G33" s="87" t="s">
        <v>320</v>
      </c>
      <c r="H33" s="87" t="s">
        <v>323</v>
      </c>
      <c r="I33" s="90" t="s">
        <v>7</v>
      </c>
      <c r="J33" s="221"/>
    </row>
    <row r="34" spans="1:10" ht="21" x14ac:dyDescent="0.25">
      <c r="A34" s="469" t="s">
        <v>207</v>
      </c>
      <c r="B34" s="469"/>
      <c r="C34" s="45">
        <f>E34</f>
        <v>7660700</v>
      </c>
      <c r="D34" s="45">
        <f t="shared" ref="D34:E34" si="3">D35+D36+D37+D38+D39</f>
        <v>0</v>
      </c>
      <c r="E34" s="45">
        <f t="shared" si="3"/>
        <v>7660700</v>
      </c>
      <c r="F34" s="26"/>
      <c r="G34" s="115"/>
      <c r="H34" s="115"/>
      <c r="I34" s="96"/>
      <c r="J34" s="221"/>
    </row>
    <row r="35" spans="1:10" ht="37.5" x14ac:dyDescent="0.2">
      <c r="A35" s="82">
        <v>23</v>
      </c>
      <c r="B35" s="93" t="s">
        <v>251</v>
      </c>
      <c r="C35" s="45">
        <f>E35</f>
        <v>990000</v>
      </c>
      <c r="D35" s="84">
        <v>0</v>
      </c>
      <c r="E35" s="85">
        <f>1135000-145000</f>
        <v>990000</v>
      </c>
      <c r="F35" s="86" t="s">
        <v>400</v>
      </c>
      <c r="G35" s="87" t="s">
        <v>283</v>
      </c>
      <c r="H35" s="87" t="s">
        <v>335</v>
      </c>
      <c r="I35" s="90" t="s">
        <v>3</v>
      </c>
      <c r="J35" s="224" t="s">
        <v>438</v>
      </c>
    </row>
    <row r="36" spans="1:10" ht="37.5" x14ac:dyDescent="0.25">
      <c r="A36" s="82">
        <v>24</v>
      </c>
      <c r="B36" s="93" t="s">
        <v>11</v>
      </c>
      <c r="C36" s="45">
        <f t="shared" ref="C36:C39" si="4">E36</f>
        <v>1662000</v>
      </c>
      <c r="D36" s="84">
        <v>0</v>
      </c>
      <c r="E36" s="91">
        <f>1665000-3000</f>
        <v>1662000</v>
      </c>
      <c r="F36" s="86" t="s">
        <v>400</v>
      </c>
      <c r="G36" s="87" t="s">
        <v>284</v>
      </c>
      <c r="H36" s="87" t="s">
        <v>322</v>
      </c>
      <c r="I36" s="90" t="s">
        <v>5</v>
      </c>
      <c r="J36" s="221"/>
    </row>
    <row r="37" spans="1:10" ht="37.5" x14ac:dyDescent="0.25">
      <c r="A37" s="82">
        <v>25</v>
      </c>
      <c r="B37" s="93" t="s">
        <v>334</v>
      </c>
      <c r="C37" s="45">
        <f t="shared" si="4"/>
        <v>1673700</v>
      </c>
      <c r="D37" s="84">
        <v>0</v>
      </c>
      <c r="E37" s="85">
        <f>1788400-114700</f>
        <v>1673700</v>
      </c>
      <c r="F37" s="86" t="s">
        <v>360</v>
      </c>
      <c r="G37" s="87" t="s">
        <v>284</v>
      </c>
      <c r="H37" s="87" t="s">
        <v>324</v>
      </c>
      <c r="I37" s="90" t="s">
        <v>7</v>
      </c>
      <c r="J37" s="221"/>
    </row>
    <row r="38" spans="1:10" ht="37.5" x14ac:dyDescent="0.25">
      <c r="A38" s="82">
        <v>26</v>
      </c>
      <c r="B38" s="93" t="s">
        <v>252</v>
      </c>
      <c r="C38" s="45">
        <f t="shared" si="4"/>
        <v>930000</v>
      </c>
      <c r="D38" s="84">
        <v>0</v>
      </c>
      <c r="E38" s="91">
        <f>985000-55000</f>
        <v>930000</v>
      </c>
      <c r="F38" s="86" t="s">
        <v>360</v>
      </c>
      <c r="G38" s="86" t="s">
        <v>282</v>
      </c>
      <c r="H38" s="87" t="s">
        <v>367</v>
      </c>
      <c r="I38" s="90" t="s">
        <v>9</v>
      </c>
      <c r="J38" s="221"/>
    </row>
    <row r="39" spans="1:10" ht="56.25" x14ac:dyDescent="0.25">
      <c r="A39" s="82">
        <v>27</v>
      </c>
      <c r="B39" s="93" t="s">
        <v>342</v>
      </c>
      <c r="C39" s="45">
        <f t="shared" si="4"/>
        <v>2405000</v>
      </c>
      <c r="D39" s="84">
        <v>0</v>
      </c>
      <c r="E39" s="97">
        <f>2701800-296800</f>
        <v>2405000</v>
      </c>
      <c r="F39" s="86" t="s">
        <v>360</v>
      </c>
      <c r="G39" s="87" t="s">
        <v>321</v>
      </c>
      <c r="H39" s="87" t="s">
        <v>368</v>
      </c>
      <c r="I39" s="90" t="s">
        <v>9</v>
      </c>
      <c r="J39" s="221"/>
    </row>
    <row r="40" spans="1:10" ht="21" x14ac:dyDescent="0.25">
      <c r="A40" s="467" t="s">
        <v>208</v>
      </c>
      <c r="B40" s="468"/>
      <c r="C40" s="73">
        <f>D40+E40</f>
        <v>17105000</v>
      </c>
      <c r="D40" s="73">
        <f t="shared" ref="D40:E40" si="5">D41+D58+D75</f>
        <v>12605000</v>
      </c>
      <c r="E40" s="73">
        <f t="shared" si="5"/>
        <v>4500000</v>
      </c>
      <c r="F40" s="26"/>
      <c r="G40" s="163"/>
      <c r="H40" s="163"/>
      <c r="I40" s="99"/>
      <c r="J40" s="221"/>
    </row>
    <row r="41" spans="1:10" ht="21" x14ac:dyDescent="0.25">
      <c r="A41" s="470" t="s">
        <v>209</v>
      </c>
      <c r="B41" s="468"/>
      <c r="C41" s="73">
        <f>D41+E41</f>
        <v>5888400</v>
      </c>
      <c r="D41" s="73">
        <f t="shared" ref="D41:E41" si="6">D42+D47+D54</f>
        <v>3750400</v>
      </c>
      <c r="E41" s="73">
        <f t="shared" si="6"/>
        <v>2138000</v>
      </c>
      <c r="F41" s="26"/>
      <c r="G41" s="164"/>
      <c r="H41" s="164"/>
      <c r="I41" s="100"/>
      <c r="J41" s="221"/>
    </row>
    <row r="42" spans="1:10" ht="56.25" x14ac:dyDescent="0.25">
      <c r="A42" s="5">
        <v>28</v>
      </c>
      <c r="B42" s="213" t="s">
        <v>305</v>
      </c>
      <c r="C42" s="45">
        <f>D42+E42</f>
        <v>1225000</v>
      </c>
      <c r="D42" s="102">
        <f>D43</f>
        <v>1116000</v>
      </c>
      <c r="E42" s="102">
        <f>E44</f>
        <v>109000</v>
      </c>
      <c r="F42" s="86" t="s">
        <v>197</v>
      </c>
      <c r="G42" s="87"/>
      <c r="H42" s="87"/>
      <c r="I42" s="90" t="s">
        <v>12</v>
      </c>
      <c r="J42" s="221"/>
    </row>
    <row r="43" spans="1:10" ht="21" x14ac:dyDescent="0.25">
      <c r="A43" s="5"/>
      <c r="B43" s="83" t="s">
        <v>83</v>
      </c>
      <c r="C43" s="45">
        <f>D43</f>
        <v>1116000</v>
      </c>
      <c r="D43" s="102">
        <v>1116000</v>
      </c>
      <c r="E43" s="102"/>
      <c r="F43" s="86"/>
      <c r="G43" s="87"/>
      <c r="H43" s="87"/>
      <c r="I43" s="90"/>
      <c r="J43" s="221"/>
    </row>
    <row r="44" spans="1:10" ht="21" x14ac:dyDescent="0.25">
      <c r="A44" s="5"/>
      <c r="B44" s="83" t="s">
        <v>262</v>
      </c>
      <c r="C44" s="45">
        <f>E44</f>
        <v>109000</v>
      </c>
      <c r="D44" s="102"/>
      <c r="E44" s="102">
        <f>E45+E46</f>
        <v>109000</v>
      </c>
      <c r="F44" s="86"/>
      <c r="G44" s="87"/>
      <c r="H44" s="87"/>
      <c r="I44" s="90"/>
      <c r="J44" s="221"/>
    </row>
    <row r="45" spans="1:10" ht="34.5" x14ac:dyDescent="0.25">
      <c r="A45" s="5"/>
      <c r="B45" s="83" t="s">
        <v>269</v>
      </c>
      <c r="C45" s="45">
        <f>E45</f>
        <v>80000</v>
      </c>
      <c r="D45" s="102"/>
      <c r="E45" s="102">
        <v>80000</v>
      </c>
      <c r="F45" s="86" t="s">
        <v>400</v>
      </c>
      <c r="G45" s="87"/>
      <c r="H45" s="87"/>
      <c r="I45" s="90" t="s">
        <v>266</v>
      </c>
      <c r="J45" s="221"/>
    </row>
    <row r="46" spans="1:10" ht="34.5" x14ac:dyDescent="0.25">
      <c r="A46" s="5"/>
      <c r="B46" s="83" t="s">
        <v>270</v>
      </c>
      <c r="C46" s="45">
        <f>E46</f>
        <v>29000</v>
      </c>
      <c r="D46" s="102"/>
      <c r="E46" s="102">
        <v>29000</v>
      </c>
      <c r="F46" s="86" t="s">
        <v>400</v>
      </c>
      <c r="G46" s="87"/>
      <c r="H46" s="87"/>
      <c r="I46" s="90" t="s">
        <v>268</v>
      </c>
      <c r="J46" s="221"/>
    </row>
    <row r="47" spans="1:10" ht="56.25" x14ac:dyDescent="0.25">
      <c r="A47" s="5">
        <v>29</v>
      </c>
      <c r="B47" s="213" t="s">
        <v>304</v>
      </c>
      <c r="C47" s="73">
        <f t="shared" ref="C47:C81" si="7">D47+E47</f>
        <v>3420400</v>
      </c>
      <c r="D47" s="74">
        <f>D48</f>
        <v>1474400</v>
      </c>
      <c r="E47" s="74">
        <f>E49</f>
        <v>1946000</v>
      </c>
      <c r="F47" s="153" t="s">
        <v>197</v>
      </c>
      <c r="G47" s="165"/>
      <c r="H47" s="165"/>
      <c r="I47" s="154" t="s">
        <v>12</v>
      </c>
      <c r="J47" s="221"/>
    </row>
    <row r="48" spans="1:10" ht="21" x14ac:dyDescent="0.25">
      <c r="A48" s="5"/>
      <c r="B48" s="83" t="s">
        <v>83</v>
      </c>
      <c r="C48" s="45">
        <f>D48</f>
        <v>1474400</v>
      </c>
      <c r="D48" s="84">
        <v>1474400</v>
      </c>
      <c r="E48" s="84"/>
      <c r="F48" s="103"/>
      <c r="G48" s="87"/>
      <c r="H48" s="87"/>
      <c r="I48" s="90"/>
      <c r="J48" s="221"/>
    </row>
    <row r="49" spans="1:10" ht="21" x14ac:dyDescent="0.25">
      <c r="A49" s="5"/>
      <c r="B49" s="83" t="s">
        <v>262</v>
      </c>
      <c r="C49" s="45">
        <f>E49</f>
        <v>1946000</v>
      </c>
      <c r="D49" s="84"/>
      <c r="E49" s="84">
        <f>E50+E51+E52+E53</f>
        <v>1946000</v>
      </c>
      <c r="F49" s="103"/>
      <c r="G49" s="87"/>
      <c r="H49" s="87"/>
      <c r="I49" s="90"/>
      <c r="J49" s="221"/>
    </row>
    <row r="50" spans="1:10" ht="51.75" x14ac:dyDescent="0.25">
      <c r="A50" s="5"/>
      <c r="B50" s="83" t="s">
        <v>263</v>
      </c>
      <c r="C50" s="45">
        <f>E50</f>
        <v>30000</v>
      </c>
      <c r="D50" s="84"/>
      <c r="E50" s="84">
        <v>30000</v>
      </c>
      <c r="F50" s="86" t="s">
        <v>400</v>
      </c>
      <c r="G50" s="87" t="s">
        <v>351</v>
      </c>
      <c r="H50" s="87" t="s">
        <v>352</v>
      </c>
      <c r="I50" s="90" t="s">
        <v>12</v>
      </c>
      <c r="J50" s="221"/>
    </row>
    <row r="51" spans="1:10" ht="51.75" x14ac:dyDescent="0.25">
      <c r="A51" s="5"/>
      <c r="B51" s="83" t="s">
        <v>264</v>
      </c>
      <c r="C51" s="45">
        <f t="shared" ref="C51:C53" si="8">E51</f>
        <v>1680000</v>
      </c>
      <c r="D51" s="84"/>
      <c r="E51" s="84">
        <f>1700000-20000</f>
        <v>1680000</v>
      </c>
      <c r="F51" s="103" t="s">
        <v>360</v>
      </c>
      <c r="G51" s="87" t="s">
        <v>295</v>
      </c>
      <c r="H51" s="87" t="s">
        <v>353</v>
      </c>
      <c r="I51" s="90" t="s">
        <v>12</v>
      </c>
      <c r="J51" s="221"/>
    </row>
    <row r="52" spans="1:10" ht="69" x14ac:dyDescent="0.25">
      <c r="A52" s="5"/>
      <c r="B52" s="83" t="s">
        <v>265</v>
      </c>
      <c r="C52" s="45">
        <f t="shared" si="8"/>
        <v>170000</v>
      </c>
      <c r="D52" s="84"/>
      <c r="E52" s="84">
        <v>170000</v>
      </c>
      <c r="F52" s="86" t="s">
        <v>400</v>
      </c>
      <c r="G52" s="87" t="s">
        <v>357</v>
      </c>
      <c r="H52" s="87" t="s">
        <v>356</v>
      </c>
      <c r="I52" s="90" t="s">
        <v>266</v>
      </c>
      <c r="J52" s="221"/>
    </row>
    <row r="53" spans="1:10" ht="34.5" x14ac:dyDescent="0.25">
      <c r="A53" s="5"/>
      <c r="B53" s="83" t="s">
        <v>267</v>
      </c>
      <c r="C53" s="45">
        <f t="shared" si="8"/>
        <v>66000</v>
      </c>
      <c r="D53" s="84"/>
      <c r="E53" s="84">
        <v>66000</v>
      </c>
      <c r="F53" s="86" t="s">
        <v>400</v>
      </c>
      <c r="G53" s="151" t="s">
        <v>358</v>
      </c>
      <c r="H53" s="87" t="s">
        <v>359</v>
      </c>
      <c r="I53" s="90" t="s">
        <v>268</v>
      </c>
      <c r="J53" s="221"/>
    </row>
    <row r="54" spans="1:10" ht="56.25" x14ac:dyDescent="0.25">
      <c r="A54" s="5">
        <v>30</v>
      </c>
      <c r="B54" s="213" t="s">
        <v>303</v>
      </c>
      <c r="C54" s="73">
        <f t="shared" si="7"/>
        <v>1243000</v>
      </c>
      <c r="D54" s="155">
        <f>D55</f>
        <v>1160000</v>
      </c>
      <c r="E54" s="80">
        <f>E56</f>
        <v>83000</v>
      </c>
      <c r="F54" s="153" t="s">
        <v>197</v>
      </c>
      <c r="G54" s="165"/>
      <c r="H54" s="165"/>
      <c r="I54" s="154" t="s">
        <v>12</v>
      </c>
      <c r="J54" s="221"/>
    </row>
    <row r="55" spans="1:10" ht="21" x14ac:dyDescent="0.25">
      <c r="A55" s="104"/>
      <c r="B55" s="150" t="s">
        <v>83</v>
      </c>
      <c r="C55" s="45">
        <f>D55</f>
        <v>1160000</v>
      </c>
      <c r="D55" s="91">
        <v>1160000</v>
      </c>
      <c r="E55" s="94"/>
      <c r="F55" s="86"/>
      <c r="G55" s="87"/>
      <c r="H55" s="87"/>
      <c r="I55" s="90"/>
      <c r="J55" s="221"/>
    </row>
    <row r="56" spans="1:10" ht="21" x14ac:dyDescent="0.25">
      <c r="A56" s="104"/>
      <c r="B56" s="105" t="s">
        <v>82</v>
      </c>
      <c r="C56" s="45">
        <f>E56</f>
        <v>83000</v>
      </c>
      <c r="D56" s="91"/>
      <c r="E56" s="94">
        <f>E57</f>
        <v>83000</v>
      </c>
      <c r="F56" s="103"/>
      <c r="G56" s="87"/>
      <c r="H56" s="87"/>
      <c r="I56" s="90"/>
      <c r="J56" s="221"/>
    </row>
    <row r="57" spans="1:10" ht="69" x14ac:dyDescent="0.25">
      <c r="A57" s="104"/>
      <c r="B57" s="105" t="s">
        <v>271</v>
      </c>
      <c r="C57" s="45">
        <f>E57</f>
        <v>83000</v>
      </c>
      <c r="D57" s="91"/>
      <c r="E57" s="94">
        <v>83000</v>
      </c>
      <c r="F57" s="86" t="s">
        <v>400</v>
      </c>
      <c r="G57" s="87" t="s">
        <v>355</v>
      </c>
      <c r="H57" s="87" t="s">
        <v>354</v>
      </c>
      <c r="I57" s="90" t="s">
        <v>272</v>
      </c>
      <c r="J57" s="221"/>
    </row>
    <row r="58" spans="1:10" ht="21" x14ac:dyDescent="0.25">
      <c r="A58" s="471" t="s">
        <v>210</v>
      </c>
      <c r="B58" s="471"/>
      <c r="C58" s="73">
        <f>D58+E58</f>
        <v>10316600</v>
      </c>
      <c r="D58" s="73">
        <f t="shared" ref="D58:E58" si="9">D59+D63+D68+D74</f>
        <v>7954600</v>
      </c>
      <c r="E58" s="73">
        <f t="shared" si="9"/>
        <v>2362000</v>
      </c>
      <c r="F58" s="26"/>
      <c r="G58" s="165"/>
      <c r="H58" s="165"/>
      <c r="I58" s="25"/>
      <c r="J58" s="221"/>
    </row>
    <row r="59" spans="1:10" ht="35.25" customHeight="1" x14ac:dyDescent="0.25">
      <c r="A59" s="5">
        <v>31</v>
      </c>
      <c r="B59" s="93" t="s">
        <v>13</v>
      </c>
      <c r="C59" s="45">
        <f t="shared" si="7"/>
        <v>2000000</v>
      </c>
      <c r="D59" s="94">
        <f>D60</f>
        <v>1200000</v>
      </c>
      <c r="E59" s="94">
        <f>E61</f>
        <v>800000</v>
      </c>
      <c r="F59" s="103" t="s">
        <v>197</v>
      </c>
      <c r="G59" s="87"/>
      <c r="H59" s="87"/>
      <c r="I59" s="90" t="s">
        <v>14</v>
      </c>
      <c r="J59" s="221"/>
    </row>
    <row r="60" spans="1:10" ht="21" x14ac:dyDescent="0.25">
      <c r="A60" s="5"/>
      <c r="B60" s="93" t="s">
        <v>83</v>
      </c>
      <c r="C60" s="45">
        <f>D60</f>
        <v>1200000</v>
      </c>
      <c r="D60" s="94">
        <v>1200000</v>
      </c>
      <c r="E60" s="94"/>
      <c r="F60" s="103"/>
      <c r="G60" s="87"/>
      <c r="H60" s="87"/>
      <c r="I60" s="90"/>
      <c r="J60" s="221"/>
    </row>
    <row r="61" spans="1:10" ht="21" x14ac:dyDescent="0.25">
      <c r="A61" s="5"/>
      <c r="B61" s="93" t="s">
        <v>82</v>
      </c>
      <c r="C61" s="45"/>
      <c r="D61" s="94"/>
      <c r="E61" s="94">
        <f>E62</f>
        <v>800000</v>
      </c>
      <c r="F61" s="103"/>
      <c r="G61" s="87"/>
      <c r="H61" s="87"/>
      <c r="I61" s="90"/>
      <c r="J61" s="221"/>
    </row>
    <row r="62" spans="1:10" ht="51.75" x14ac:dyDescent="0.25">
      <c r="A62" s="5"/>
      <c r="B62" s="93" t="s">
        <v>312</v>
      </c>
      <c r="C62" s="45">
        <f>E62</f>
        <v>800000</v>
      </c>
      <c r="D62" s="94"/>
      <c r="E62" s="94">
        <v>800000</v>
      </c>
      <c r="F62" s="87" t="s">
        <v>360</v>
      </c>
      <c r="G62" s="87" t="s">
        <v>399</v>
      </c>
      <c r="H62" s="87" t="s">
        <v>435</v>
      </c>
      <c r="I62" s="90"/>
      <c r="J62" s="221"/>
    </row>
    <row r="63" spans="1:10" ht="37.5" customHeight="1" x14ac:dyDescent="0.25">
      <c r="A63" s="5">
        <v>32</v>
      </c>
      <c r="B63" s="108" t="s">
        <v>15</v>
      </c>
      <c r="C63" s="45">
        <f t="shared" si="7"/>
        <v>2066000</v>
      </c>
      <c r="D63" s="94">
        <v>1590000</v>
      </c>
      <c r="E63" s="94">
        <f>E65</f>
        <v>476000</v>
      </c>
      <c r="F63" s="103" t="s">
        <v>197</v>
      </c>
      <c r="G63" s="87"/>
      <c r="H63" s="87"/>
      <c r="I63" s="90" t="s">
        <v>16</v>
      </c>
      <c r="J63" s="221"/>
    </row>
    <row r="64" spans="1:10" ht="21" x14ac:dyDescent="0.25">
      <c r="A64" s="5"/>
      <c r="B64" s="108" t="s">
        <v>310</v>
      </c>
      <c r="C64" s="45">
        <f>D64</f>
        <v>1590000</v>
      </c>
      <c r="D64" s="94">
        <v>1590000</v>
      </c>
      <c r="E64" s="94"/>
      <c r="F64" s="103"/>
      <c r="G64" s="87"/>
      <c r="H64" s="87"/>
      <c r="I64" s="90"/>
      <c r="J64" s="221"/>
    </row>
    <row r="65" spans="1:10" ht="21" x14ac:dyDescent="0.25">
      <c r="A65" s="5"/>
      <c r="B65" s="108" t="s">
        <v>262</v>
      </c>
      <c r="C65" s="45">
        <f>E65</f>
        <v>476000</v>
      </c>
      <c r="D65" s="94"/>
      <c r="E65" s="94">
        <f>E66+E67</f>
        <v>476000</v>
      </c>
      <c r="F65" s="86" t="s">
        <v>400</v>
      </c>
      <c r="G65" s="87"/>
      <c r="H65" s="87"/>
      <c r="I65" s="90"/>
      <c r="J65" s="221"/>
    </row>
    <row r="66" spans="1:10" ht="34.5" x14ac:dyDescent="0.25">
      <c r="A66" s="5"/>
      <c r="B66" s="83" t="s">
        <v>387</v>
      </c>
      <c r="C66" s="45">
        <f>E66</f>
        <v>238000</v>
      </c>
      <c r="D66" s="94"/>
      <c r="E66" s="94">
        <v>238000</v>
      </c>
      <c r="F66" s="103"/>
      <c r="G66" s="482" t="s">
        <v>370</v>
      </c>
      <c r="H66" s="87" t="s">
        <v>371</v>
      </c>
      <c r="I66" s="90"/>
      <c r="J66" s="222"/>
    </row>
    <row r="67" spans="1:10" ht="34.5" x14ac:dyDescent="0.25">
      <c r="A67" s="5"/>
      <c r="B67" s="83" t="s">
        <v>311</v>
      </c>
      <c r="C67" s="45">
        <f>E67</f>
        <v>238000</v>
      </c>
      <c r="D67" s="94"/>
      <c r="E67" s="94">
        <v>238000</v>
      </c>
      <c r="F67" s="103"/>
      <c r="G67" s="483"/>
      <c r="H67" s="87" t="s">
        <v>371</v>
      </c>
      <c r="I67" s="90"/>
      <c r="J67" s="221"/>
    </row>
    <row r="68" spans="1:10" ht="35.25" customHeight="1" x14ac:dyDescent="0.25">
      <c r="A68" s="5">
        <v>33</v>
      </c>
      <c r="B68" s="83" t="s">
        <v>17</v>
      </c>
      <c r="C68" s="45">
        <f t="shared" si="7"/>
        <v>1795600</v>
      </c>
      <c r="D68" s="85">
        <f>D69</f>
        <v>709600</v>
      </c>
      <c r="E68" s="94">
        <f>E70</f>
        <v>1086000</v>
      </c>
      <c r="F68" s="103" t="s">
        <v>197</v>
      </c>
      <c r="G68" s="87"/>
      <c r="H68" s="87"/>
      <c r="I68" s="90" t="s">
        <v>16</v>
      </c>
      <c r="J68" s="222"/>
    </row>
    <row r="69" spans="1:10" ht="21" x14ac:dyDescent="0.25">
      <c r="A69" s="5"/>
      <c r="B69" s="83" t="s">
        <v>310</v>
      </c>
      <c r="C69" s="45">
        <f>D69</f>
        <v>709600</v>
      </c>
      <c r="D69" s="85">
        <v>709600</v>
      </c>
      <c r="E69" s="94"/>
      <c r="F69" s="103"/>
      <c r="G69" s="87"/>
      <c r="H69" s="87"/>
      <c r="I69" s="90"/>
      <c r="J69" s="221"/>
    </row>
    <row r="70" spans="1:10" ht="21" x14ac:dyDescent="0.25">
      <c r="A70" s="5"/>
      <c r="B70" s="83" t="s">
        <v>309</v>
      </c>
      <c r="C70" s="45">
        <f>E70</f>
        <v>1086000</v>
      </c>
      <c r="D70" s="85"/>
      <c r="E70" s="94">
        <f>E71+E72+E73</f>
        <v>1086000</v>
      </c>
      <c r="F70" s="103"/>
      <c r="G70" s="87"/>
      <c r="H70" s="87"/>
      <c r="I70" s="90"/>
      <c r="J70" s="221"/>
    </row>
    <row r="71" spans="1:10" ht="37.5" x14ac:dyDescent="0.2">
      <c r="A71" s="5"/>
      <c r="B71" s="83" t="s">
        <v>306</v>
      </c>
      <c r="C71" s="45">
        <f>E71</f>
        <v>500000</v>
      </c>
      <c r="D71" s="85"/>
      <c r="E71" s="94">
        <v>500000</v>
      </c>
      <c r="F71" s="103" t="s">
        <v>360</v>
      </c>
      <c r="G71" s="87" t="s">
        <v>372</v>
      </c>
      <c r="H71" s="87" t="s">
        <v>375</v>
      </c>
      <c r="I71" s="90"/>
      <c r="J71" s="224" t="s">
        <v>440</v>
      </c>
    </row>
    <row r="72" spans="1:10" ht="51.75" x14ac:dyDescent="0.25">
      <c r="A72" s="5"/>
      <c r="B72" s="83" t="s">
        <v>307</v>
      </c>
      <c r="C72" s="45">
        <f>E72</f>
        <v>86000</v>
      </c>
      <c r="D72" s="85"/>
      <c r="E72" s="94">
        <v>86000</v>
      </c>
      <c r="F72" s="103" t="s">
        <v>400</v>
      </c>
      <c r="G72" s="87" t="s">
        <v>373</v>
      </c>
      <c r="H72" s="87"/>
      <c r="I72" s="90"/>
      <c r="J72" s="221"/>
    </row>
    <row r="73" spans="1:10" ht="47.25" x14ac:dyDescent="0.2">
      <c r="A73" s="5"/>
      <c r="B73" s="83" t="s">
        <v>308</v>
      </c>
      <c r="C73" s="45">
        <f>E73</f>
        <v>500000</v>
      </c>
      <c r="D73" s="85"/>
      <c r="E73" s="94">
        <v>500000</v>
      </c>
      <c r="F73" s="103" t="s">
        <v>360</v>
      </c>
      <c r="G73" s="87" t="s">
        <v>374</v>
      </c>
      <c r="H73" s="87" t="s">
        <v>375</v>
      </c>
      <c r="I73" s="90"/>
      <c r="J73" s="224" t="s">
        <v>441</v>
      </c>
    </row>
    <row r="74" spans="1:10" ht="36" customHeight="1" x14ac:dyDescent="0.25">
      <c r="A74" s="5">
        <v>34</v>
      </c>
      <c r="B74" s="83" t="s">
        <v>18</v>
      </c>
      <c r="C74" s="45">
        <f t="shared" si="7"/>
        <v>4455000</v>
      </c>
      <c r="D74" s="91">
        <v>4455000</v>
      </c>
      <c r="E74" s="94">
        <v>0</v>
      </c>
      <c r="F74" s="103" t="s">
        <v>197</v>
      </c>
      <c r="G74" s="87"/>
      <c r="H74" s="87"/>
      <c r="I74" s="90" t="s">
        <v>16</v>
      </c>
      <c r="J74" s="221"/>
    </row>
    <row r="75" spans="1:10" ht="21" x14ac:dyDescent="0.25">
      <c r="A75" s="469" t="s">
        <v>211</v>
      </c>
      <c r="B75" s="469"/>
      <c r="C75" s="73">
        <f>D75</f>
        <v>900000</v>
      </c>
      <c r="D75" s="73">
        <f t="shared" ref="D75:E75" si="10">D76+D77+D78</f>
        <v>900000</v>
      </c>
      <c r="E75" s="73">
        <f t="shared" si="10"/>
        <v>0</v>
      </c>
      <c r="F75" s="26"/>
      <c r="G75" s="165"/>
      <c r="H75" s="165"/>
      <c r="I75" s="100"/>
      <c r="J75" s="221"/>
    </row>
    <row r="76" spans="1:10" ht="33.75" customHeight="1" x14ac:dyDescent="0.25">
      <c r="A76" s="5">
        <v>35</v>
      </c>
      <c r="B76" s="109" t="s">
        <v>19</v>
      </c>
      <c r="C76" s="45">
        <f t="shared" si="7"/>
        <v>300000</v>
      </c>
      <c r="D76" s="110">
        <v>300000</v>
      </c>
      <c r="E76" s="94">
        <v>0</v>
      </c>
      <c r="F76" s="103" t="s">
        <v>197</v>
      </c>
      <c r="G76" s="87"/>
      <c r="H76" s="87"/>
      <c r="I76" s="111" t="s">
        <v>20</v>
      </c>
      <c r="J76" s="221"/>
    </row>
    <row r="77" spans="1:10" ht="36" customHeight="1" x14ac:dyDescent="0.25">
      <c r="A77" s="5">
        <v>36</v>
      </c>
      <c r="B77" s="109" t="s">
        <v>21</v>
      </c>
      <c r="C77" s="45">
        <f t="shared" si="7"/>
        <v>300000</v>
      </c>
      <c r="D77" s="110">
        <v>300000</v>
      </c>
      <c r="E77" s="94">
        <v>0</v>
      </c>
      <c r="F77" s="103" t="s">
        <v>197</v>
      </c>
      <c r="G77" s="87"/>
      <c r="H77" s="87"/>
      <c r="I77" s="111" t="s">
        <v>20</v>
      </c>
      <c r="J77" s="221"/>
    </row>
    <row r="78" spans="1:10" ht="36.75" customHeight="1" x14ac:dyDescent="0.25">
      <c r="A78" s="5">
        <v>37</v>
      </c>
      <c r="B78" s="109" t="s">
        <v>22</v>
      </c>
      <c r="C78" s="45">
        <f t="shared" si="7"/>
        <v>300000</v>
      </c>
      <c r="D78" s="110">
        <v>300000</v>
      </c>
      <c r="E78" s="94">
        <v>0</v>
      </c>
      <c r="F78" s="103" t="s">
        <v>197</v>
      </c>
      <c r="G78" s="87"/>
      <c r="H78" s="87"/>
      <c r="I78" s="111" t="s">
        <v>20</v>
      </c>
      <c r="J78" s="221"/>
    </row>
    <row r="79" spans="1:10" ht="21" x14ac:dyDescent="0.25">
      <c r="A79" s="467" t="s">
        <v>212</v>
      </c>
      <c r="B79" s="468"/>
      <c r="C79" s="73">
        <f>D79</f>
        <v>6325500</v>
      </c>
      <c r="D79" s="73">
        <f>D80+D82</f>
        <v>6325500</v>
      </c>
      <c r="E79" s="112">
        <v>0</v>
      </c>
      <c r="F79" s="113"/>
      <c r="G79" s="165"/>
      <c r="H79" s="165"/>
      <c r="I79" s="100"/>
      <c r="J79" s="221"/>
    </row>
    <row r="80" spans="1:10" ht="21" x14ac:dyDescent="0.25">
      <c r="A80" s="470" t="s">
        <v>213</v>
      </c>
      <c r="B80" s="468"/>
      <c r="C80" s="73">
        <f>C81</f>
        <v>1000000</v>
      </c>
      <c r="D80" s="73">
        <f>D81</f>
        <v>1000000</v>
      </c>
      <c r="E80" s="74">
        <v>0</v>
      </c>
      <c r="F80" s="17"/>
      <c r="G80" s="165"/>
      <c r="H80" s="165"/>
      <c r="I80" s="114"/>
      <c r="J80" s="221"/>
    </row>
    <row r="81" spans="1:10" ht="37.5" x14ac:dyDescent="0.25">
      <c r="A81" s="5">
        <v>38</v>
      </c>
      <c r="B81" s="93" t="s">
        <v>23</v>
      </c>
      <c r="C81" s="45">
        <f t="shared" si="7"/>
        <v>1000000</v>
      </c>
      <c r="D81" s="85">
        <v>1000000</v>
      </c>
      <c r="E81" s="84">
        <v>0</v>
      </c>
      <c r="F81" s="86" t="s">
        <v>261</v>
      </c>
      <c r="G81" s="87"/>
      <c r="H81" s="87"/>
      <c r="I81" s="90" t="s">
        <v>24</v>
      </c>
      <c r="J81" s="221"/>
    </row>
    <row r="82" spans="1:10" ht="34.5" x14ac:dyDescent="0.25">
      <c r="A82" s="469" t="s">
        <v>214</v>
      </c>
      <c r="B82" s="469"/>
      <c r="C82" s="73">
        <f>D82</f>
        <v>5325500</v>
      </c>
      <c r="D82" s="73">
        <f>D83+D84+D85+D86+D87+D88+D89+D90+D91+D92+D93+D94+D95</f>
        <v>5325500</v>
      </c>
      <c r="E82" s="80">
        <v>0</v>
      </c>
      <c r="F82" s="115" t="s">
        <v>261</v>
      </c>
      <c r="G82" s="165"/>
      <c r="H82" s="165"/>
      <c r="I82" s="114"/>
      <c r="J82" s="221"/>
    </row>
    <row r="83" spans="1:10" ht="21" x14ac:dyDescent="0.25">
      <c r="A83" s="5">
        <v>39</v>
      </c>
      <c r="B83" s="93" t="s">
        <v>131</v>
      </c>
      <c r="C83" s="45">
        <f>D83</f>
        <v>500000</v>
      </c>
      <c r="D83" s="85">
        <v>500000</v>
      </c>
      <c r="E83" s="94">
        <v>0</v>
      </c>
      <c r="F83" s="103"/>
      <c r="G83" s="87"/>
      <c r="H83" s="87"/>
      <c r="I83" s="90" t="s">
        <v>25</v>
      </c>
      <c r="J83" s="221"/>
    </row>
    <row r="84" spans="1:10" ht="21" x14ac:dyDescent="0.25">
      <c r="A84" s="5">
        <v>40</v>
      </c>
      <c r="B84" s="93" t="s">
        <v>126</v>
      </c>
      <c r="C84" s="45">
        <f t="shared" ref="C84:C95" si="11">D84</f>
        <v>490000</v>
      </c>
      <c r="D84" s="85">
        <v>490000</v>
      </c>
      <c r="E84" s="94">
        <v>0</v>
      </c>
      <c r="F84" s="103"/>
      <c r="G84" s="87"/>
      <c r="H84" s="87"/>
      <c r="I84" s="90" t="s">
        <v>25</v>
      </c>
      <c r="J84" s="221"/>
    </row>
    <row r="85" spans="1:10" ht="21" x14ac:dyDescent="0.25">
      <c r="A85" s="5">
        <v>41</v>
      </c>
      <c r="B85" s="93" t="s">
        <v>127</v>
      </c>
      <c r="C85" s="45">
        <f t="shared" si="11"/>
        <v>60000</v>
      </c>
      <c r="D85" s="85">
        <v>60000</v>
      </c>
      <c r="E85" s="84">
        <v>0</v>
      </c>
      <c r="F85" s="103"/>
      <c r="G85" s="87"/>
      <c r="H85" s="87"/>
      <c r="I85" s="90" t="s">
        <v>25</v>
      </c>
      <c r="J85" s="221"/>
    </row>
    <row r="86" spans="1:10" ht="21" x14ac:dyDescent="0.25">
      <c r="A86" s="5">
        <v>42</v>
      </c>
      <c r="B86" s="93" t="s">
        <v>337</v>
      </c>
      <c r="C86" s="45">
        <f t="shared" si="11"/>
        <v>60000</v>
      </c>
      <c r="D86" s="85">
        <v>60000</v>
      </c>
      <c r="E86" s="94">
        <v>0</v>
      </c>
      <c r="F86" s="103"/>
      <c r="G86" s="87"/>
      <c r="H86" s="87"/>
      <c r="I86" s="90" t="s">
        <v>25</v>
      </c>
      <c r="J86" s="221"/>
    </row>
    <row r="87" spans="1:10" ht="21" x14ac:dyDescent="0.25">
      <c r="A87" s="5">
        <v>43</v>
      </c>
      <c r="B87" s="93" t="s">
        <v>128</v>
      </c>
      <c r="C87" s="45">
        <f t="shared" si="11"/>
        <v>60000</v>
      </c>
      <c r="D87" s="85">
        <v>60000</v>
      </c>
      <c r="E87" s="94">
        <v>0</v>
      </c>
      <c r="F87" s="103"/>
      <c r="G87" s="87"/>
      <c r="H87" s="87"/>
      <c r="I87" s="90" t="s">
        <v>25</v>
      </c>
      <c r="J87" s="221"/>
    </row>
    <row r="88" spans="1:10" ht="21" x14ac:dyDescent="0.25">
      <c r="A88" s="5">
        <v>44</v>
      </c>
      <c r="B88" s="93" t="s">
        <v>129</v>
      </c>
      <c r="C88" s="45">
        <f t="shared" si="11"/>
        <v>60000</v>
      </c>
      <c r="D88" s="85">
        <v>60000</v>
      </c>
      <c r="E88" s="94">
        <v>0</v>
      </c>
      <c r="F88" s="103"/>
      <c r="G88" s="87"/>
      <c r="H88" s="87"/>
      <c r="I88" s="90" t="s">
        <v>25</v>
      </c>
      <c r="J88" s="221"/>
    </row>
    <row r="89" spans="1:10" ht="21" x14ac:dyDescent="0.25">
      <c r="A89" s="5">
        <v>45</v>
      </c>
      <c r="B89" s="93" t="s">
        <v>130</v>
      </c>
      <c r="C89" s="45">
        <f t="shared" si="11"/>
        <v>60000</v>
      </c>
      <c r="D89" s="85">
        <v>60000</v>
      </c>
      <c r="E89" s="84">
        <v>0</v>
      </c>
      <c r="F89" s="103"/>
      <c r="G89" s="87"/>
      <c r="H89" s="87"/>
      <c r="I89" s="90" t="s">
        <v>25</v>
      </c>
      <c r="J89" s="221"/>
    </row>
    <row r="90" spans="1:10" ht="37.5" x14ac:dyDescent="0.25">
      <c r="A90" s="5">
        <v>46</v>
      </c>
      <c r="B90" s="93" t="s">
        <v>26</v>
      </c>
      <c r="C90" s="45">
        <f t="shared" si="11"/>
        <v>252000</v>
      </c>
      <c r="D90" s="85">
        <v>252000</v>
      </c>
      <c r="E90" s="94">
        <v>0</v>
      </c>
      <c r="F90" s="103"/>
      <c r="G90" s="87"/>
      <c r="H90" s="87"/>
      <c r="I90" s="90" t="s">
        <v>25</v>
      </c>
      <c r="J90" s="221"/>
    </row>
    <row r="91" spans="1:10" ht="21" x14ac:dyDescent="0.25">
      <c r="A91" s="5">
        <v>47</v>
      </c>
      <c r="B91" s="93" t="s">
        <v>378</v>
      </c>
      <c r="C91" s="45">
        <f t="shared" si="11"/>
        <v>252000</v>
      </c>
      <c r="D91" s="85">
        <v>252000</v>
      </c>
      <c r="E91" s="94">
        <v>0</v>
      </c>
      <c r="F91" s="103"/>
      <c r="G91" s="87"/>
      <c r="H91" s="87"/>
      <c r="I91" s="90" t="s">
        <v>25</v>
      </c>
      <c r="J91" s="221"/>
    </row>
    <row r="92" spans="1:10" ht="21" x14ac:dyDescent="0.25">
      <c r="A92" s="5">
        <v>48</v>
      </c>
      <c r="B92" s="83" t="s">
        <v>27</v>
      </c>
      <c r="C92" s="45">
        <f t="shared" si="11"/>
        <v>300000</v>
      </c>
      <c r="D92" s="85">
        <v>300000</v>
      </c>
      <c r="E92" s="94">
        <v>0</v>
      </c>
      <c r="F92" s="103"/>
      <c r="G92" s="87"/>
      <c r="H92" s="87"/>
      <c r="I92" s="90" t="s">
        <v>25</v>
      </c>
      <c r="J92" s="221"/>
    </row>
    <row r="93" spans="1:10" ht="37.5" x14ac:dyDescent="0.25">
      <c r="A93" s="5">
        <v>49</v>
      </c>
      <c r="B93" s="83" t="s">
        <v>277</v>
      </c>
      <c r="C93" s="45">
        <f t="shared" si="11"/>
        <v>231500</v>
      </c>
      <c r="D93" s="85">
        <v>231500</v>
      </c>
      <c r="E93" s="94">
        <v>0</v>
      </c>
      <c r="F93" s="103"/>
      <c r="G93" s="87"/>
      <c r="H93" s="87"/>
      <c r="I93" s="90" t="s">
        <v>278</v>
      </c>
      <c r="J93" s="221"/>
    </row>
    <row r="94" spans="1:10" ht="21" x14ac:dyDescent="0.25">
      <c r="A94" s="5">
        <v>50</v>
      </c>
      <c r="B94" s="83" t="s">
        <v>377</v>
      </c>
      <c r="C94" s="45">
        <f t="shared" si="11"/>
        <v>1500000</v>
      </c>
      <c r="D94" s="85">
        <v>1500000</v>
      </c>
      <c r="E94" s="94">
        <v>0</v>
      </c>
      <c r="F94" s="103"/>
      <c r="G94" s="87"/>
      <c r="H94" s="87"/>
      <c r="I94" s="90" t="s">
        <v>25</v>
      </c>
      <c r="J94" s="221"/>
    </row>
    <row r="95" spans="1:10" ht="21" x14ac:dyDescent="0.25">
      <c r="A95" s="5">
        <v>51</v>
      </c>
      <c r="B95" s="83" t="s">
        <v>28</v>
      </c>
      <c r="C95" s="45">
        <f t="shared" si="11"/>
        <v>1500000</v>
      </c>
      <c r="D95" s="85">
        <v>1500000</v>
      </c>
      <c r="E95" s="94">
        <v>0</v>
      </c>
      <c r="F95" s="103"/>
      <c r="G95" s="87"/>
      <c r="H95" s="87"/>
      <c r="I95" s="116" t="s">
        <v>29</v>
      </c>
      <c r="J95" s="221"/>
    </row>
    <row r="96" spans="1:10" ht="21" x14ac:dyDescent="0.25">
      <c r="A96" s="467" t="s">
        <v>215</v>
      </c>
      <c r="B96" s="468"/>
      <c r="C96" s="189">
        <f>E96</f>
        <v>40164900</v>
      </c>
      <c r="D96" s="73">
        <f t="shared" ref="D96:E96" si="12">D97+D103</f>
        <v>0</v>
      </c>
      <c r="E96" s="73">
        <f t="shared" si="12"/>
        <v>40164900</v>
      </c>
      <c r="F96" s="26"/>
      <c r="G96" s="165"/>
      <c r="H96" s="165"/>
      <c r="I96" s="90"/>
      <c r="J96" s="221"/>
    </row>
    <row r="97" spans="1:10" ht="21" x14ac:dyDescent="0.25">
      <c r="A97" s="470" t="s">
        <v>216</v>
      </c>
      <c r="B97" s="468"/>
      <c r="C97" s="189">
        <f>E97</f>
        <v>29985900</v>
      </c>
      <c r="D97" s="73">
        <f t="shared" ref="D97:E97" si="13">D98+D99+D100+D101+D102</f>
        <v>0</v>
      </c>
      <c r="E97" s="73">
        <f t="shared" si="13"/>
        <v>29985900</v>
      </c>
      <c r="F97" s="26"/>
      <c r="G97" s="165"/>
      <c r="H97" s="165"/>
      <c r="I97" s="100"/>
      <c r="J97" s="221"/>
    </row>
    <row r="98" spans="1:10" ht="51.75" x14ac:dyDescent="0.25">
      <c r="A98" s="5">
        <v>52</v>
      </c>
      <c r="B98" s="83" t="s">
        <v>30</v>
      </c>
      <c r="C98" s="45">
        <f>E98</f>
        <v>5990880</v>
      </c>
      <c r="D98" s="91">
        <v>0</v>
      </c>
      <c r="E98" s="91">
        <f>6000000-9120</f>
        <v>5990880</v>
      </c>
      <c r="F98" s="103" t="s">
        <v>400</v>
      </c>
      <c r="G98" s="86" t="s">
        <v>296</v>
      </c>
      <c r="H98" s="87" t="s">
        <v>325</v>
      </c>
      <c r="I98" s="117" t="s">
        <v>31</v>
      </c>
      <c r="J98" s="221"/>
    </row>
    <row r="99" spans="1:10" ht="51.75" x14ac:dyDescent="0.25">
      <c r="A99" s="5">
        <v>53</v>
      </c>
      <c r="B99" s="83" t="s">
        <v>32</v>
      </c>
      <c r="C99" s="45">
        <f t="shared" ref="C99:C102" si="14">E99</f>
        <v>9996620</v>
      </c>
      <c r="D99" s="84">
        <v>0</v>
      </c>
      <c r="E99" s="91">
        <f>10000000-3380</f>
        <v>9996620</v>
      </c>
      <c r="F99" s="103" t="s">
        <v>400</v>
      </c>
      <c r="G99" s="86" t="s">
        <v>296</v>
      </c>
      <c r="H99" s="87" t="s">
        <v>325</v>
      </c>
      <c r="I99" s="117" t="s">
        <v>31</v>
      </c>
      <c r="J99" s="221"/>
    </row>
    <row r="100" spans="1:10" ht="51.75" x14ac:dyDescent="0.25">
      <c r="A100" s="5">
        <v>54</v>
      </c>
      <c r="B100" s="83" t="s">
        <v>33</v>
      </c>
      <c r="C100" s="45">
        <f t="shared" si="14"/>
        <v>7660800</v>
      </c>
      <c r="D100" s="84">
        <v>0</v>
      </c>
      <c r="E100" s="91">
        <f>7770000-109200</f>
        <v>7660800</v>
      </c>
      <c r="F100" s="103" t="s">
        <v>400</v>
      </c>
      <c r="G100" s="86" t="s">
        <v>296</v>
      </c>
      <c r="H100" s="87" t="s">
        <v>325</v>
      </c>
      <c r="I100" s="117" t="s">
        <v>31</v>
      </c>
      <c r="J100" s="221"/>
    </row>
    <row r="101" spans="1:10" ht="51.75" x14ac:dyDescent="0.25">
      <c r="A101" s="5">
        <v>55</v>
      </c>
      <c r="B101" s="83" t="s">
        <v>34</v>
      </c>
      <c r="C101" s="45">
        <f t="shared" si="14"/>
        <v>2389600</v>
      </c>
      <c r="D101" s="84">
        <v>0</v>
      </c>
      <c r="E101" s="91">
        <f>2400000-10400</f>
        <v>2389600</v>
      </c>
      <c r="F101" s="103" t="s">
        <v>400</v>
      </c>
      <c r="G101" s="86" t="s">
        <v>296</v>
      </c>
      <c r="H101" s="87" t="s">
        <v>325</v>
      </c>
      <c r="I101" s="117" t="s">
        <v>31</v>
      </c>
      <c r="J101" s="221"/>
    </row>
    <row r="102" spans="1:10" ht="51.75" x14ac:dyDescent="0.25">
      <c r="A102" s="5">
        <v>56</v>
      </c>
      <c r="B102" s="93" t="s">
        <v>35</v>
      </c>
      <c r="C102" s="45">
        <f t="shared" si="14"/>
        <v>3948000</v>
      </c>
      <c r="D102" s="91">
        <v>0</v>
      </c>
      <c r="E102" s="91">
        <f>3965000-17000</f>
        <v>3948000</v>
      </c>
      <c r="F102" s="103" t="s">
        <v>400</v>
      </c>
      <c r="G102" s="86" t="s">
        <v>296</v>
      </c>
      <c r="H102" s="87" t="s">
        <v>325</v>
      </c>
      <c r="I102" s="117" t="s">
        <v>31</v>
      </c>
      <c r="J102" s="221"/>
    </row>
    <row r="103" spans="1:10" ht="21" x14ac:dyDescent="0.25">
      <c r="A103" s="469" t="s">
        <v>217</v>
      </c>
      <c r="B103" s="469"/>
      <c r="C103" s="73">
        <f>E103</f>
        <v>10179000</v>
      </c>
      <c r="D103" s="73">
        <f t="shared" ref="D103:E103" si="15">D104+D105</f>
        <v>0</v>
      </c>
      <c r="E103" s="73">
        <f t="shared" si="15"/>
        <v>10179000</v>
      </c>
      <c r="F103" s="26"/>
      <c r="G103" s="165"/>
      <c r="H103" s="165"/>
      <c r="I103" s="25"/>
      <c r="J103" s="221"/>
    </row>
    <row r="104" spans="1:10" ht="56.25" x14ac:dyDescent="0.25">
      <c r="A104" s="5">
        <v>57</v>
      </c>
      <c r="B104" s="93" t="s">
        <v>253</v>
      </c>
      <c r="C104" s="45">
        <f>E104</f>
        <v>8790000</v>
      </c>
      <c r="D104" s="91"/>
      <c r="E104" s="91">
        <f>10000000-1210000</f>
        <v>8790000</v>
      </c>
      <c r="F104" s="86" t="s">
        <v>360</v>
      </c>
      <c r="G104" s="87" t="s">
        <v>299</v>
      </c>
      <c r="H104" s="87" t="s">
        <v>341</v>
      </c>
      <c r="I104" s="119" t="s">
        <v>36</v>
      </c>
      <c r="J104" s="221"/>
    </row>
    <row r="105" spans="1:10" ht="37.5" x14ac:dyDescent="0.25">
      <c r="A105" s="5">
        <v>58</v>
      </c>
      <c r="B105" s="83" t="s">
        <v>254</v>
      </c>
      <c r="C105" s="45">
        <f>E105</f>
        <v>1389000</v>
      </c>
      <c r="D105" s="91"/>
      <c r="E105" s="91">
        <f>2100000-711000</f>
        <v>1389000</v>
      </c>
      <c r="F105" s="86" t="s">
        <v>360</v>
      </c>
      <c r="G105" s="87" t="s">
        <v>299</v>
      </c>
      <c r="H105" s="87" t="s">
        <v>376</v>
      </c>
      <c r="I105" s="119" t="s">
        <v>36</v>
      </c>
      <c r="J105" s="221"/>
    </row>
    <row r="106" spans="1:10" ht="21" x14ac:dyDescent="0.25">
      <c r="A106" s="467" t="s">
        <v>218</v>
      </c>
      <c r="B106" s="468"/>
      <c r="C106" s="73">
        <f>C107</f>
        <v>370500</v>
      </c>
      <c r="D106" s="73">
        <f t="shared" ref="D106:E107" si="16">D107</f>
        <v>370500</v>
      </c>
      <c r="E106" s="73">
        <f t="shared" si="16"/>
        <v>0</v>
      </c>
      <c r="F106" s="26"/>
      <c r="G106" s="165"/>
      <c r="H106" s="165"/>
      <c r="I106" s="25"/>
      <c r="J106" s="221"/>
    </row>
    <row r="107" spans="1:10" ht="21" x14ac:dyDescent="0.25">
      <c r="A107" s="470" t="s">
        <v>219</v>
      </c>
      <c r="B107" s="468"/>
      <c r="C107" s="73">
        <f>C108</f>
        <v>370500</v>
      </c>
      <c r="D107" s="73">
        <f t="shared" si="16"/>
        <v>370500</v>
      </c>
      <c r="E107" s="73">
        <f t="shared" si="16"/>
        <v>0</v>
      </c>
      <c r="F107" s="26"/>
      <c r="G107" s="165"/>
      <c r="H107" s="165"/>
      <c r="I107" s="25"/>
      <c r="J107" s="221"/>
    </row>
    <row r="108" spans="1:10" ht="42" customHeight="1" x14ac:dyDescent="0.25">
      <c r="A108" s="5">
        <v>59</v>
      </c>
      <c r="B108" s="93" t="s">
        <v>255</v>
      </c>
      <c r="C108" s="45">
        <f t="shared" ref="C108:C151" si="17">D108+E108</f>
        <v>370500</v>
      </c>
      <c r="D108" s="97">
        <v>370500</v>
      </c>
      <c r="E108" s="94">
        <v>0</v>
      </c>
      <c r="F108" s="103" t="s">
        <v>197</v>
      </c>
      <c r="G108" s="87"/>
      <c r="H108" s="87"/>
      <c r="I108" s="90" t="s">
        <v>37</v>
      </c>
      <c r="J108" s="221"/>
    </row>
    <row r="109" spans="1:10" ht="21" x14ac:dyDescent="0.25">
      <c r="A109" s="467" t="s">
        <v>220</v>
      </c>
      <c r="B109" s="468"/>
      <c r="C109" s="73">
        <f>C110+C113</f>
        <v>3978300</v>
      </c>
      <c r="D109" s="73">
        <f t="shared" ref="D109:E109" si="18">D110+D113</f>
        <v>1348300</v>
      </c>
      <c r="E109" s="73">
        <f t="shared" si="18"/>
        <v>2630000</v>
      </c>
      <c r="F109" s="26"/>
      <c r="G109" s="165"/>
      <c r="H109" s="165"/>
      <c r="I109" s="100"/>
      <c r="J109" s="221"/>
    </row>
    <row r="110" spans="1:10" ht="21" x14ac:dyDescent="0.25">
      <c r="A110" s="470" t="s">
        <v>221</v>
      </c>
      <c r="B110" s="468"/>
      <c r="C110" s="73">
        <f>C111+C112</f>
        <v>3398300</v>
      </c>
      <c r="D110" s="73">
        <f t="shared" ref="D110:E110" si="19">D111+D112</f>
        <v>1348300</v>
      </c>
      <c r="E110" s="73">
        <f t="shared" si="19"/>
        <v>2050000</v>
      </c>
      <c r="F110" s="26"/>
      <c r="G110" s="165"/>
      <c r="H110" s="165"/>
      <c r="I110" s="100"/>
      <c r="J110" s="221"/>
    </row>
    <row r="111" spans="1:10" ht="37.5" customHeight="1" x14ac:dyDescent="0.2">
      <c r="A111" s="120">
        <v>60</v>
      </c>
      <c r="B111" s="121" t="s">
        <v>256</v>
      </c>
      <c r="C111" s="45">
        <f t="shared" si="17"/>
        <v>2050000</v>
      </c>
      <c r="D111" s="91"/>
      <c r="E111" s="91">
        <f>2500000-450000</f>
        <v>2050000</v>
      </c>
      <c r="F111" s="86" t="s">
        <v>360</v>
      </c>
      <c r="G111" s="87" t="s">
        <v>384</v>
      </c>
      <c r="H111" s="87" t="s">
        <v>385</v>
      </c>
      <c r="I111" s="90" t="s">
        <v>38</v>
      </c>
      <c r="J111" s="225" t="s">
        <v>439</v>
      </c>
    </row>
    <row r="112" spans="1:10" ht="47.25" x14ac:dyDescent="0.25">
      <c r="A112" s="4">
        <v>61</v>
      </c>
      <c r="B112" s="121" t="s">
        <v>39</v>
      </c>
      <c r="C112" s="45">
        <f t="shared" si="17"/>
        <v>1348300</v>
      </c>
      <c r="D112" s="85">
        <v>1348300</v>
      </c>
      <c r="E112" s="94">
        <v>0</v>
      </c>
      <c r="F112" s="86" t="s">
        <v>261</v>
      </c>
      <c r="G112" s="87"/>
      <c r="H112" s="87"/>
      <c r="I112" s="122" t="s">
        <v>40</v>
      </c>
      <c r="J112" s="221"/>
    </row>
    <row r="113" spans="1:10" ht="21" x14ac:dyDescent="0.25">
      <c r="A113" s="469" t="s">
        <v>222</v>
      </c>
      <c r="B113" s="469"/>
      <c r="C113" s="73">
        <f>C114</f>
        <v>580000</v>
      </c>
      <c r="D113" s="73">
        <f t="shared" ref="D113:E113" si="20">D114</f>
        <v>0</v>
      </c>
      <c r="E113" s="73">
        <f t="shared" si="20"/>
        <v>580000</v>
      </c>
      <c r="F113" s="26"/>
      <c r="G113" s="165"/>
      <c r="H113" s="165"/>
      <c r="I113" s="100"/>
      <c r="J113" s="221"/>
    </row>
    <row r="114" spans="1:10" ht="37.5" x14ac:dyDescent="0.25">
      <c r="A114" s="5">
        <v>62</v>
      </c>
      <c r="B114" s="121" t="s">
        <v>132</v>
      </c>
      <c r="C114" s="45">
        <f t="shared" si="17"/>
        <v>580000</v>
      </c>
      <c r="D114" s="123">
        <v>0</v>
      </c>
      <c r="E114" s="94">
        <f>900000-320000</f>
        <v>580000</v>
      </c>
      <c r="F114" s="86" t="s">
        <v>400</v>
      </c>
      <c r="G114" s="87" t="s">
        <v>282</v>
      </c>
      <c r="H114" s="87" t="s">
        <v>326</v>
      </c>
      <c r="I114" s="90" t="s">
        <v>3</v>
      </c>
      <c r="J114" s="221"/>
    </row>
    <row r="115" spans="1:10" ht="21" x14ac:dyDescent="0.25">
      <c r="A115" s="467" t="s">
        <v>41</v>
      </c>
      <c r="B115" s="468"/>
      <c r="C115" s="73">
        <f>C116</f>
        <v>7847300</v>
      </c>
      <c r="D115" s="73">
        <f t="shared" ref="D115:E115" si="21">D116</f>
        <v>7847300</v>
      </c>
      <c r="E115" s="73">
        <f t="shared" si="21"/>
        <v>0</v>
      </c>
      <c r="F115" s="26"/>
      <c r="G115" s="165"/>
      <c r="H115" s="165"/>
      <c r="I115" s="100"/>
      <c r="J115" s="221"/>
    </row>
    <row r="116" spans="1:10" ht="21" x14ac:dyDescent="0.25">
      <c r="A116" s="467" t="s">
        <v>223</v>
      </c>
      <c r="B116" s="468"/>
      <c r="C116" s="73">
        <f>C117+C127</f>
        <v>7847300</v>
      </c>
      <c r="D116" s="73">
        <f t="shared" ref="D116:E116" si="22">D117+D127</f>
        <v>7847300</v>
      </c>
      <c r="E116" s="73">
        <f t="shared" si="22"/>
        <v>0</v>
      </c>
      <c r="F116" s="26"/>
      <c r="G116" s="165"/>
      <c r="H116" s="165"/>
      <c r="I116" s="124"/>
      <c r="J116" s="221"/>
    </row>
    <row r="117" spans="1:10" ht="21" x14ac:dyDescent="0.25">
      <c r="A117" s="470" t="s">
        <v>224</v>
      </c>
      <c r="B117" s="468"/>
      <c r="C117" s="73">
        <f>C118+C119+C120+C121+C122</f>
        <v>3842300</v>
      </c>
      <c r="D117" s="73">
        <f t="shared" ref="D117:E117" si="23">D118+D119+D120+D121+D122</f>
        <v>3842300</v>
      </c>
      <c r="E117" s="73">
        <f t="shared" si="23"/>
        <v>0</v>
      </c>
      <c r="F117" s="26"/>
      <c r="G117" s="165"/>
      <c r="H117" s="165"/>
      <c r="I117" s="100"/>
      <c r="J117" s="221"/>
    </row>
    <row r="118" spans="1:10" ht="34.5" customHeight="1" x14ac:dyDescent="0.25">
      <c r="A118" s="125">
        <v>63</v>
      </c>
      <c r="B118" s="126" t="s">
        <v>42</v>
      </c>
      <c r="C118" s="45">
        <f t="shared" si="17"/>
        <v>940200</v>
      </c>
      <c r="D118" s="127">
        <v>940200</v>
      </c>
      <c r="E118" s="128">
        <v>0</v>
      </c>
      <c r="F118" s="103" t="s">
        <v>197</v>
      </c>
      <c r="G118" s="87"/>
      <c r="H118" s="87"/>
      <c r="I118" s="129" t="s">
        <v>12</v>
      </c>
      <c r="J118" s="221"/>
    </row>
    <row r="119" spans="1:10" ht="37.5" customHeight="1" x14ac:dyDescent="0.25">
      <c r="A119" s="125">
        <v>64</v>
      </c>
      <c r="B119" s="109" t="s">
        <v>43</v>
      </c>
      <c r="C119" s="45">
        <f t="shared" si="17"/>
        <v>1339900</v>
      </c>
      <c r="D119" s="110">
        <v>1339900</v>
      </c>
      <c r="E119" s="94"/>
      <c r="F119" s="103" t="s">
        <v>197</v>
      </c>
      <c r="G119" s="87"/>
      <c r="H119" s="87"/>
      <c r="I119" s="129" t="s">
        <v>44</v>
      </c>
      <c r="J119" s="221"/>
    </row>
    <row r="120" spans="1:10" ht="34.5" customHeight="1" x14ac:dyDescent="0.25">
      <c r="A120" s="125">
        <v>65</v>
      </c>
      <c r="B120" s="130" t="s">
        <v>45</v>
      </c>
      <c r="C120" s="45">
        <f t="shared" si="17"/>
        <v>405700</v>
      </c>
      <c r="D120" s="110">
        <v>405700</v>
      </c>
      <c r="E120" s="94"/>
      <c r="F120" s="103" t="s">
        <v>197</v>
      </c>
      <c r="G120" s="87"/>
      <c r="H120" s="87"/>
      <c r="I120" s="129" t="s">
        <v>44</v>
      </c>
      <c r="J120" s="221"/>
    </row>
    <row r="121" spans="1:10" ht="33.75" customHeight="1" x14ac:dyDescent="0.25">
      <c r="A121" s="125">
        <v>66</v>
      </c>
      <c r="B121" s="130" t="s">
        <v>46</v>
      </c>
      <c r="C121" s="45">
        <f t="shared" si="17"/>
        <v>878500</v>
      </c>
      <c r="D121" s="84">
        <v>878500</v>
      </c>
      <c r="E121" s="94"/>
      <c r="F121" s="103" t="s">
        <v>197</v>
      </c>
      <c r="G121" s="87"/>
      <c r="H121" s="87"/>
      <c r="I121" s="131" t="s">
        <v>47</v>
      </c>
      <c r="J121" s="221"/>
    </row>
    <row r="122" spans="1:10" ht="36" customHeight="1" x14ac:dyDescent="0.25">
      <c r="A122" s="82">
        <v>67</v>
      </c>
      <c r="B122" s="109" t="s">
        <v>48</v>
      </c>
      <c r="C122" s="45">
        <f t="shared" si="17"/>
        <v>278000</v>
      </c>
      <c r="D122" s="110">
        <v>278000</v>
      </c>
      <c r="E122" s="94"/>
      <c r="F122" s="103" t="s">
        <v>197</v>
      </c>
      <c r="G122" s="87"/>
      <c r="H122" s="87"/>
      <c r="I122" s="131" t="s">
        <v>47</v>
      </c>
      <c r="J122" s="221"/>
    </row>
    <row r="123" spans="1:10" ht="37.5" hidden="1" x14ac:dyDescent="0.25">
      <c r="A123" s="82"/>
      <c r="B123" s="109" t="s">
        <v>330</v>
      </c>
      <c r="C123" s="45"/>
      <c r="D123" s="110"/>
      <c r="E123" s="94"/>
      <c r="F123" s="103"/>
      <c r="G123" s="87"/>
      <c r="H123" s="87"/>
      <c r="I123" s="131"/>
      <c r="J123" s="221"/>
    </row>
    <row r="124" spans="1:10" ht="37.5" hidden="1" x14ac:dyDescent="0.25">
      <c r="A124" s="82"/>
      <c r="B124" s="109" t="s">
        <v>331</v>
      </c>
      <c r="C124" s="45"/>
      <c r="D124" s="110"/>
      <c r="E124" s="94"/>
      <c r="F124" s="103"/>
      <c r="G124" s="87"/>
      <c r="H124" s="87"/>
      <c r="I124" s="131"/>
      <c r="J124" s="221"/>
    </row>
    <row r="125" spans="1:10" ht="56.25" hidden="1" x14ac:dyDescent="0.25">
      <c r="A125" s="82"/>
      <c r="B125" s="109" t="s">
        <v>332</v>
      </c>
      <c r="C125" s="45"/>
      <c r="D125" s="110"/>
      <c r="E125" s="94"/>
      <c r="F125" s="103"/>
      <c r="G125" s="87"/>
      <c r="H125" s="87"/>
      <c r="I125" s="131"/>
      <c r="J125" s="221"/>
    </row>
    <row r="126" spans="1:10" ht="21" hidden="1" x14ac:dyDescent="0.25">
      <c r="A126" s="82"/>
      <c r="B126" s="109" t="s">
        <v>333</v>
      </c>
      <c r="C126" s="45"/>
      <c r="D126" s="110"/>
      <c r="E126" s="94"/>
      <c r="F126" s="103"/>
      <c r="G126" s="87"/>
      <c r="H126" s="87"/>
      <c r="I126" s="131"/>
      <c r="J126" s="221"/>
    </row>
    <row r="127" spans="1:10" ht="21" x14ac:dyDescent="0.25">
      <c r="A127" s="469" t="s">
        <v>225</v>
      </c>
      <c r="B127" s="469"/>
      <c r="C127" s="73">
        <f>C128+C129</f>
        <v>4005000</v>
      </c>
      <c r="D127" s="73">
        <f t="shared" ref="D127:E127" si="24">D128+D129</f>
        <v>4005000</v>
      </c>
      <c r="E127" s="73">
        <f t="shared" si="24"/>
        <v>0</v>
      </c>
      <c r="F127" s="26"/>
      <c r="G127" s="165"/>
      <c r="H127" s="165"/>
      <c r="I127" s="100"/>
      <c r="J127" s="221"/>
    </row>
    <row r="128" spans="1:10" ht="34.5" customHeight="1" x14ac:dyDescent="0.25">
      <c r="A128" s="82">
        <v>68</v>
      </c>
      <c r="B128" s="109" t="s">
        <v>49</v>
      </c>
      <c r="C128" s="45">
        <f t="shared" si="17"/>
        <v>2247900</v>
      </c>
      <c r="D128" s="84">
        <v>2247900</v>
      </c>
      <c r="E128" s="94">
        <v>0</v>
      </c>
      <c r="F128" s="103" t="s">
        <v>197</v>
      </c>
      <c r="G128" s="87"/>
      <c r="H128" s="87"/>
      <c r="I128" s="111" t="s">
        <v>50</v>
      </c>
      <c r="J128" s="221"/>
    </row>
    <row r="129" spans="1:10" ht="34.5" customHeight="1" x14ac:dyDescent="0.25">
      <c r="A129" s="125">
        <v>69</v>
      </c>
      <c r="B129" s="109" t="s">
        <v>51</v>
      </c>
      <c r="C129" s="45">
        <f t="shared" si="17"/>
        <v>1757100</v>
      </c>
      <c r="D129" s="110">
        <v>1757100</v>
      </c>
      <c r="E129" s="94">
        <v>0</v>
      </c>
      <c r="F129" s="103" t="s">
        <v>197</v>
      </c>
      <c r="G129" s="87"/>
      <c r="H129" s="87"/>
      <c r="I129" s="111" t="s">
        <v>52</v>
      </c>
      <c r="J129" s="221"/>
    </row>
    <row r="130" spans="1:10" ht="21" x14ac:dyDescent="0.25">
      <c r="A130" s="486" t="s">
        <v>53</v>
      </c>
      <c r="B130" s="487"/>
      <c r="C130" s="73">
        <f>C131</f>
        <v>5765200</v>
      </c>
      <c r="D130" s="73">
        <f t="shared" ref="D130:E130" si="25">D131</f>
        <v>5390200</v>
      </c>
      <c r="E130" s="73">
        <f t="shared" si="25"/>
        <v>375000</v>
      </c>
      <c r="F130" s="26"/>
      <c r="G130" s="165"/>
      <c r="H130" s="165"/>
      <c r="I130" s="100"/>
      <c r="J130" s="221"/>
    </row>
    <row r="131" spans="1:10" ht="21" x14ac:dyDescent="0.25">
      <c r="A131" s="467" t="s">
        <v>227</v>
      </c>
      <c r="B131" s="468"/>
      <c r="C131" s="73">
        <f>C132+C136+C138</f>
        <v>5765200</v>
      </c>
      <c r="D131" s="73">
        <f t="shared" ref="D131:E131" si="26">D132+D136+D138</f>
        <v>5390200</v>
      </c>
      <c r="E131" s="73">
        <f t="shared" si="26"/>
        <v>375000</v>
      </c>
      <c r="F131" s="26"/>
      <c r="G131" s="165"/>
      <c r="H131" s="165"/>
      <c r="I131" s="124"/>
      <c r="J131" s="221"/>
    </row>
    <row r="132" spans="1:10" ht="21" x14ac:dyDescent="0.25">
      <c r="A132" s="484" t="s">
        <v>226</v>
      </c>
      <c r="B132" s="485"/>
      <c r="C132" s="73">
        <f>C133</f>
        <v>2375000</v>
      </c>
      <c r="D132" s="73">
        <f t="shared" ref="D132:E132" si="27">D133</f>
        <v>2000000</v>
      </c>
      <c r="E132" s="73">
        <f t="shared" si="27"/>
        <v>375000</v>
      </c>
      <c r="F132" s="26"/>
      <c r="G132" s="165"/>
      <c r="H132" s="165"/>
      <c r="I132" s="100"/>
      <c r="J132" s="221"/>
    </row>
    <row r="133" spans="1:10" ht="34.5" x14ac:dyDescent="0.25">
      <c r="A133" s="5">
        <v>70</v>
      </c>
      <c r="B133" s="132" t="s">
        <v>54</v>
      </c>
      <c r="C133" s="45">
        <f t="shared" si="17"/>
        <v>2375000</v>
      </c>
      <c r="D133" s="110">
        <f>D134</f>
        <v>2000000</v>
      </c>
      <c r="E133" s="94">
        <f>E135</f>
        <v>375000</v>
      </c>
      <c r="F133" s="95"/>
      <c r="G133" s="87"/>
      <c r="H133" s="87"/>
      <c r="I133" s="111" t="s">
        <v>16</v>
      </c>
      <c r="J133" s="221"/>
    </row>
    <row r="134" spans="1:10" ht="21" x14ac:dyDescent="0.25">
      <c r="A134" s="5"/>
      <c r="B134" s="132" t="s">
        <v>83</v>
      </c>
      <c r="C134" s="45"/>
      <c r="D134" s="127">
        <v>2000000</v>
      </c>
      <c r="E134" s="128"/>
      <c r="F134" s="95"/>
      <c r="G134" s="87"/>
      <c r="H134" s="87"/>
      <c r="I134" s="111"/>
      <c r="J134" s="221"/>
    </row>
    <row r="135" spans="1:10" ht="37.5" x14ac:dyDescent="0.25">
      <c r="A135" s="5"/>
      <c r="B135" s="132" t="s">
        <v>343</v>
      </c>
      <c r="C135" s="45">
        <f>D135+E135</f>
        <v>375000</v>
      </c>
      <c r="D135" s="127"/>
      <c r="E135" s="128">
        <v>375000</v>
      </c>
      <c r="F135" s="86" t="s">
        <v>400</v>
      </c>
      <c r="G135" s="87" t="s">
        <v>300</v>
      </c>
      <c r="H135" s="87" t="s">
        <v>301</v>
      </c>
      <c r="I135" s="111"/>
      <c r="J135" s="221"/>
    </row>
    <row r="136" spans="1:10" ht="21" x14ac:dyDescent="0.25">
      <c r="A136" s="469" t="s">
        <v>228</v>
      </c>
      <c r="B136" s="469"/>
      <c r="C136" s="73">
        <f>C137</f>
        <v>3000000</v>
      </c>
      <c r="D136" s="73">
        <f t="shared" ref="D136:E136" si="28">D137</f>
        <v>3000000</v>
      </c>
      <c r="E136" s="73">
        <f t="shared" si="28"/>
        <v>0</v>
      </c>
      <c r="F136" s="26"/>
      <c r="G136" s="165"/>
      <c r="H136" s="165"/>
      <c r="I136" s="100"/>
      <c r="J136" s="221"/>
    </row>
    <row r="137" spans="1:10" ht="34.5" customHeight="1" x14ac:dyDescent="0.25">
      <c r="A137" s="5">
        <v>71</v>
      </c>
      <c r="B137" s="109" t="s">
        <v>55</v>
      </c>
      <c r="C137" s="45">
        <f t="shared" si="17"/>
        <v>3000000</v>
      </c>
      <c r="D137" s="133">
        <v>3000000</v>
      </c>
      <c r="E137" s="133"/>
      <c r="F137" s="191" t="s">
        <v>197</v>
      </c>
      <c r="G137" s="87"/>
      <c r="H137" s="87"/>
      <c r="I137" s="111" t="s">
        <v>16</v>
      </c>
      <c r="J137" s="221"/>
    </row>
    <row r="138" spans="1:10" ht="21" x14ac:dyDescent="0.25">
      <c r="A138" s="469" t="s">
        <v>229</v>
      </c>
      <c r="B138" s="469"/>
      <c r="C138" s="73">
        <f>C139</f>
        <v>390200</v>
      </c>
      <c r="D138" s="73">
        <f t="shared" ref="D138:E138" si="29">D139</f>
        <v>390200</v>
      </c>
      <c r="E138" s="73">
        <f t="shared" si="29"/>
        <v>0</v>
      </c>
      <c r="F138" s="26"/>
      <c r="G138" s="165"/>
      <c r="H138" s="165"/>
      <c r="I138" s="100"/>
      <c r="J138" s="221"/>
    </row>
    <row r="139" spans="1:10" ht="36.75" customHeight="1" x14ac:dyDescent="0.25">
      <c r="A139" s="5">
        <v>72</v>
      </c>
      <c r="B139" s="132" t="s">
        <v>56</v>
      </c>
      <c r="C139" s="45">
        <f t="shared" si="17"/>
        <v>390200</v>
      </c>
      <c r="D139" s="110">
        <v>390200</v>
      </c>
      <c r="E139" s="94"/>
      <c r="F139" s="103" t="s">
        <v>197</v>
      </c>
      <c r="G139" s="87"/>
      <c r="H139" s="87"/>
      <c r="I139" s="111" t="s">
        <v>52</v>
      </c>
      <c r="J139" s="221"/>
    </row>
    <row r="140" spans="1:10" ht="21" x14ac:dyDescent="0.25">
      <c r="A140" s="467" t="s">
        <v>57</v>
      </c>
      <c r="B140" s="468"/>
      <c r="C140" s="73">
        <f>C141</f>
        <v>5475300</v>
      </c>
      <c r="D140" s="73">
        <f t="shared" ref="D140:E141" si="30">D141</f>
        <v>5475300</v>
      </c>
      <c r="E140" s="73">
        <f t="shared" si="30"/>
        <v>0</v>
      </c>
      <c r="F140" s="26"/>
      <c r="G140" s="165"/>
      <c r="H140" s="165"/>
      <c r="I140" s="25"/>
      <c r="J140" s="221"/>
    </row>
    <row r="141" spans="1:10" ht="21" x14ac:dyDescent="0.25">
      <c r="A141" s="467" t="s">
        <v>230</v>
      </c>
      <c r="B141" s="468"/>
      <c r="C141" s="73">
        <f>C142</f>
        <v>5475300</v>
      </c>
      <c r="D141" s="73">
        <f t="shared" si="30"/>
        <v>5475300</v>
      </c>
      <c r="E141" s="73">
        <f t="shared" si="30"/>
        <v>0</v>
      </c>
      <c r="F141" s="26"/>
      <c r="G141" s="165"/>
      <c r="H141" s="165"/>
      <c r="I141" s="25"/>
      <c r="J141" s="221"/>
    </row>
    <row r="142" spans="1:10" ht="21" x14ac:dyDescent="0.25">
      <c r="A142" s="469" t="s">
        <v>231</v>
      </c>
      <c r="B142" s="469"/>
      <c r="C142" s="73">
        <f>D142+E142</f>
        <v>5475300</v>
      </c>
      <c r="D142" s="73">
        <f>D143+D144+D145+D146+D147+D148+D149+D150+D151</f>
        <v>5475300</v>
      </c>
      <c r="E142" s="80">
        <v>0</v>
      </c>
      <c r="F142" s="95"/>
      <c r="G142" s="165"/>
      <c r="H142" s="165"/>
      <c r="I142" s="25"/>
      <c r="J142" s="221"/>
    </row>
    <row r="143" spans="1:10" ht="31.5" x14ac:dyDescent="0.25">
      <c r="A143" s="5">
        <v>73</v>
      </c>
      <c r="B143" s="93" t="s">
        <v>58</v>
      </c>
      <c r="C143" s="45">
        <f t="shared" si="17"/>
        <v>500000</v>
      </c>
      <c r="D143" s="97">
        <v>500000</v>
      </c>
      <c r="E143" s="94"/>
      <c r="F143" s="103" t="s">
        <v>198</v>
      </c>
      <c r="G143" s="87"/>
      <c r="H143" s="87"/>
      <c r="I143" s="134" t="s">
        <v>59</v>
      </c>
      <c r="J143" s="221"/>
    </row>
    <row r="144" spans="1:10" ht="47.25" x14ac:dyDescent="0.25">
      <c r="A144" s="5">
        <v>74</v>
      </c>
      <c r="B144" s="93" t="s">
        <v>60</v>
      </c>
      <c r="C144" s="45">
        <f t="shared" si="17"/>
        <v>500000</v>
      </c>
      <c r="D144" s="97">
        <v>500000</v>
      </c>
      <c r="E144" s="94"/>
      <c r="F144" s="152" t="s">
        <v>400</v>
      </c>
      <c r="G144" s="87"/>
      <c r="H144" s="87"/>
      <c r="I144" s="119" t="s">
        <v>61</v>
      </c>
      <c r="J144" s="221"/>
    </row>
    <row r="145" spans="1:10" ht="36.75" customHeight="1" x14ac:dyDescent="0.25">
      <c r="A145" s="5">
        <v>75</v>
      </c>
      <c r="B145" s="93" t="s">
        <v>62</v>
      </c>
      <c r="C145" s="45">
        <f t="shared" si="17"/>
        <v>600000</v>
      </c>
      <c r="D145" s="97">
        <v>600000</v>
      </c>
      <c r="E145" s="94"/>
      <c r="F145" s="103" t="s">
        <v>197</v>
      </c>
      <c r="G145" s="87"/>
      <c r="H145" s="87"/>
      <c r="I145" s="119" t="s">
        <v>59</v>
      </c>
      <c r="J145" s="221"/>
    </row>
    <row r="146" spans="1:10" ht="34.5" customHeight="1" x14ac:dyDescent="0.25">
      <c r="A146" s="5">
        <v>76</v>
      </c>
      <c r="B146" s="83" t="s">
        <v>63</v>
      </c>
      <c r="C146" s="45">
        <f t="shared" si="17"/>
        <v>500000</v>
      </c>
      <c r="D146" s="97">
        <v>500000</v>
      </c>
      <c r="E146" s="94"/>
      <c r="F146" s="103" t="s">
        <v>197</v>
      </c>
      <c r="G146" s="87"/>
      <c r="H146" s="87"/>
      <c r="I146" s="119" t="s">
        <v>59</v>
      </c>
      <c r="J146" s="221"/>
    </row>
    <row r="147" spans="1:10" ht="31.5" x14ac:dyDescent="0.25">
      <c r="A147" s="5">
        <v>77</v>
      </c>
      <c r="B147" s="93" t="s">
        <v>64</v>
      </c>
      <c r="C147" s="45">
        <f t="shared" si="17"/>
        <v>500000</v>
      </c>
      <c r="D147" s="84">
        <v>500000</v>
      </c>
      <c r="E147" s="94"/>
      <c r="F147" s="115" t="s">
        <v>400</v>
      </c>
      <c r="G147" s="87"/>
      <c r="H147" s="87"/>
      <c r="I147" s="119" t="s">
        <v>59</v>
      </c>
      <c r="J147" s="221"/>
    </row>
    <row r="148" spans="1:10" ht="31.5" x14ac:dyDescent="0.25">
      <c r="A148" s="5">
        <v>78</v>
      </c>
      <c r="B148" s="93" t="s">
        <v>65</v>
      </c>
      <c r="C148" s="45">
        <f t="shared" si="17"/>
        <v>527500</v>
      </c>
      <c r="D148" s="97">
        <v>527500</v>
      </c>
      <c r="E148" s="94"/>
      <c r="F148" s="115" t="s">
        <v>198</v>
      </c>
      <c r="G148" s="87"/>
      <c r="H148" s="87"/>
      <c r="I148" s="119" t="s">
        <v>59</v>
      </c>
      <c r="J148" s="221"/>
    </row>
    <row r="149" spans="1:10" ht="63" x14ac:dyDescent="0.25">
      <c r="A149" s="5">
        <v>79</v>
      </c>
      <c r="B149" s="93" t="s">
        <v>66</v>
      </c>
      <c r="C149" s="45">
        <f t="shared" si="17"/>
        <v>500000</v>
      </c>
      <c r="D149" s="84">
        <v>500000</v>
      </c>
      <c r="E149" s="94"/>
      <c r="F149" s="115" t="s">
        <v>197</v>
      </c>
      <c r="G149" s="87"/>
      <c r="H149" s="87"/>
      <c r="I149" s="119" t="s">
        <v>67</v>
      </c>
      <c r="J149" s="221"/>
    </row>
    <row r="150" spans="1:10" ht="63" x14ac:dyDescent="0.25">
      <c r="A150" s="5">
        <v>80</v>
      </c>
      <c r="B150" s="108" t="s">
        <v>68</v>
      </c>
      <c r="C150" s="45">
        <f t="shared" si="17"/>
        <v>500000</v>
      </c>
      <c r="D150" s="84">
        <v>500000</v>
      </c>
      <c r="E150" s="94"/>
      <c r="F150" s="115" t="s">
        <v>197</v>
      </c>
      <c r="G150" s="87"/>
      <c r="H150" s="87"/>
      <c r="I150" s="119" t="s">
        <v>69</v>
      </c>
      <c r="J150" s="221"/>
    </row>
    <row r="151" spans="1:10" ht="63" x14ac:dyDescent="0.25">
      <c r="A151" s="5">
        <v>81</v>
      </c>
      <c r="B151" s="135" t="s">
        <v>70</v>
      </c>
      <c r="C151" s="45">
        <f t="shared" si="17"/>
        <v>1347800</v>
      </c>
      <c r="D151" s="84">
        <v>1347800</v>
      </c>
      <c r="E151" s="94"/>
      <c r="F151" s="115" t="s">
        <v>197</v>
      </c>
      <c r="G151" s="87"/>
      <c r="H151" s="87"/>
      <c r="I151" s="119" t="s">
        <v>71</v>
      </c>
      <c r="J151" s="221"/>
    </row>
    <row r="152" spans="1:10" ht="21" x14ac:dyDescent="0.25">
      <c r="A152" s="5"/>
      <c r="B152" s="136" t="s">
        <v>72</v>
      </c>
      <c r="C152" s="73">
        <v>8000000</v>
      </c>
      <c r="D152" s="73">
        <v>8000000</v>
      </c>
      <c r="E152" s="74">
        <v>0</v>
      </c>
      <c r="F152" s="137"/>
      <c r="G152" s="166"/>
      <c r="H152" s="166"/>
      <c r="I152" s="14"/>
      <c r="J152" s="221"/>
    </row>
    <row r="153" spans="1:10" s="173" customFormat="1" ht="21" x14ac:dyDescent="0.25">
      <c r="A153" s="5"/>
      <c r="B153" s="174" t="s">
        <v>397</v>
      </c>
      <c r="C153" s="175">
        <f>D153+E153</f>
        <v>7690000</v>
      </c>
      <c r="D153" s="175">
        <f>D154+D155+D157</f>
        <v>1694500</v>
      </c>
      <c r="E153" s="176">
        <f>E156+E157+E158+E159</f>
        <v>5995500</v>
      </c>
      <c r="F153" s="177"/>
      <c r="G153" s="178"/>
      <c r="H153" s="178"/>
      <c r="I153" s="182"/>
      <c r="J153" s="223"/>
    </row>
    <row r="154" spans="1:10" s="172" customFormat="1" ht="34.5" x14ac:dyDescent="0.25">
      <c r="A154" s="82"/>
      <c r="B154" s="188" t="s">
        <v>426</v>
      </c>
      <c r="C154" s="45">
        <f>D154</f>
        <v>500000</v>
      </c>
      <c r="D154" s="45">
        <v>500000</v>
      </c>
      <c r="E154" s="84"/>
      <c r="F154" s="103" t="s">
        <v>400</v>
      </c>
      <c r="G154" s="169"/>
      <c r="H154" s="169"/>
      <c r="I154" s="26" t="s">
        <v>12</v>
      </c>
      <c r="J154" s="222"/>
    </row>
    <row r="155" spans="1:10" s="172" customFormat="1" ht="36.75" customHeight="1" x14ac:dyDescent="0.25">
      <c r="A155" s="82"/>
      <c r="B155" s="188" t="s">
        <v>427</v>
      </c>
      <c r="C155" s="45">
        <f>D155</f>
        <v>800000</v>
      </c>
      <c r="D155" s="45">
        <v>800000</v>
      </c>
      <c r="E155" s="84"/>
      <c r="F155" s="103" t="s">
        <v>197</v>
      </c>
      <c r="G155" s="169"/>
      <c r="H155" s="169"/>
      <c r="I155" s="87" t="s">
        <v>398</v>
      </c>
      <c r="J155" s="221"/>
    </row>
    <row r="156" spans="1:10" s="172" customFormat="1" ht="40.5" customHeight="1" x14ac:dyDescent="0.35">
      <c r="A156" s="82"/>
      <c r="B156" s="187" t="s">
        <v>428</v>
      </c>
      <c r="C156" s="45">
        <f>D156+E156</f>
        <v>450000</v>
      </c>
      <c r="D156" s="45"/>
      <c r="E156" s="84">
        <v>450000</v>
      </c>
      <c r="F156" s="103" t="s">
        <v>197</v>
      </c>
      <c r="G156" s="169"/>
      <c r="H156" s="169"/>
      <c r="I156" s="87" t="s">
        <v>38</v>
      </c>
      <c r="J156" s="221"/>
    </row>
    <row r="157" spans="1:10" s="172" customFormat="1" ht="41.25" customHeight="1" x14ac:dyDescent="0.35">
      <c r="A157" s="82"/>
      <c r="B157" s="187" t="s">
        <v>429</v>
      </c>
      <c r="C157" s="45">
        <f t="shared" ref="C157:C159" si="31">D157+E157</f>
        <v>450000</v>
      </c>
      <c r="D157" s="45">
        <v>394500</v>
      </c>
      <c r="E157" s="84">
        <v>55500</v>
      </c>
      <c r="F157" s="103" t="s">
        <v>197</v>
      </c>
      <c r="G157" s="169"/>
      <c r="H157" s="169"/>
      <c r="I157" s="87" t="s">
        <v>7</v>
      </c>
      <c r="J157" s="221"/>
    </row>
    <row r="158" spans="1:10" s="172" customFormat="1" ht="39" customHeight="1" x14ac:dyDescent="0.25">
      <c r="A158" s="82"/>
      <c r="B158" s="212" t="s">
        <v>433</v>
      </c>
      <c r="C158" s="45">
        <f t="shared" si="31"/>
        <v>4000000</v>
      </c>
      <c r="D158" s="45"/>
      <c r="E158" s="84">
        <v>4000000</v>
      </c>
      <c r="F158" s="103" t="s">
        <v>197</v>
      </c>
      <c r="G158" s="169"/>
      <c r="H158" s="169"/>
      <c r="I158" s="26" t="s">
        <v>31</v>
      </c>
      <c r="J158" s="221"/>
    </row>
    <row r="159" spans="1:10" s="172" customFormat="1" ht="40.5" customHeight="1" x14ac:dyDescent="0.25">
      <c r="A159" s="82"/>
      <c r="B159" s="212" t="s">
        <v>431</v>
      </c>
      <c r="C159" s="45">
        <f t="shared" si="31"/>
        <v>1490000</v>
      </c>
      <c r="D159" s="45"/>
      <c r="E159" s="84">
        <v>1490000</v>
      </c>
      <c r="F159" s="103" t="s">
        <v>197</v>
      </c>
      <c r="G159" s="169"/>
      <c r="H159" s="169"/>
      <c r="I159" s="26" t="s">
        <v>31</v>
      </c>
      <c r="J159" s="221"/>
    </row>
    <row r="160" spans="1:10" s="172" customFormat="1" ht="38.25" customHeight="1" x14ac:dyDescent="0.2">
      <c r="A160" s="82"/>
      <c r="B160" s="227" t="s">
        <v>443</v>
      </c>
      <c r="C160" s="45">
        <v>470000</v>
      </c>
      <c r="D160" s="45">
        <v>470000</v>
      </c>
      <c r="E160" s="84"/>
      <c r="F160" s="103" t="s">
        <v>197</v>
      </c>
      <c r="G160" s="169"/>
      <c r="H160" s="169"/>
      <c r="I160" s="26" t="s">
        <v>59</v>
      </c>
      <c r="J160" s="84"/>
    </row>
    <row r="161" spans="1:10" s="172" customFormat="1" ht="36.75" customHeight="1" x14ac:dyDescent="0.2">
      <c r="A161" s="82"/>
      <c r="B161" s="227" t="s">
        <v>592</v>
      </c>
      <c r="C161" s="45">
        <v>1400000</v>
      </c>
      <c r="D161" s="45"/>
      <c r="E161" s="84">
        <v>1400000</v>
      </c>
      <c r="F161" s="103" t="s">
        <v>197</v>
      </c>
      <c r="G161" s="169"/>
      <c r="H161" s="169"/>
      <c r="I161" s="26" t="s">
        <v>31</v>
      </c>
      <c r="J161" s="84"/>
    </row>
    <row r="162" spans="1:10" ht="21" x14ac:dyDescent="0.35">
      <c r="A162" s="8"/>
      <c r="B162" s="53" t="s">
        <v>114</v>
      </c>
      <c r="C162" s="140">
        <f>C8+C115+C130+C140+C152+C153</f>
        <v>185998300</v>
      </c>
      <c r="D162" s="140">
        <f>D8+D115+D130+D140+D152+D153</f>
        <v>49056600</v>
      </c>
      <c r="E162" s="140">
        <f>E8+E115+E130+E140+E152+E153</f>
        <v>136941700</v>
      </c>
      <c r="F162" s="141"/>
      <c r="G162" s="216"/>
      <c r="H162" s="216"/>
      <c r="I162" s="53"/>
      <c r="J162" s="221"/>
    </row>
  </sheetData>
  <mergeCells count="44">
    <mergeCell ref="A1:I1"/>
    <mergeCell ref="A2:I2"/>
    <mergeCell ref="A3:I3"/>
    <mergeCell ref="A34:B34"/>
    <mergeCell ref="A5:A6"/>
    <mergeCell ref="B5:B6"/>
    <mergeCell ref="C5:E5"/>
    <mergeCell ref="A7:B7"/>
    <mergeCell ref="A8:B8"/>
    <mergeCell ref="A9:B9"/>
    <mergeCell ref="A10:B10"/>
    <mergeCell ref="A31:B31"/>
    <mergeCell ref="A40:B40"/>
    <mergeCell ref="A41:B41"/>
    <mergeCell ref="A58:B58"/>
    <mergeCell ref="A75:B75"/>
    <mergeCell ref="A79:B79"/>
    <mergeCell ref="A116:B116"/>
    <mergeCell ref="A80:B80"/>
    <mergeCell ref="A82:B82"/>
    <mergeCell ref="A96:B96"/>
    <mergeCell ref="A97:B97"/>
    <mergeCell ref="A103:B103"/>
    <mergeCell ref="A106:B106"/>
    <mergeCell ref="A107:B107"/>
    <mergeCell ref="A109:B109"/>
    <mergeCell ref="A110:B110"/>
    <mergeCell ref="A113:B113"/>
    <mergeCell ref="A115:B115"/>
    <mergeCell ref="A138:B138"/>
    <mergeCell ref="A140:B140"/>
    <mergeCell ref="A141:B141"/>
    <mergeCell ref="A142:B142"/>
    <mergeCell ref="A117:B117"/>
    <mergeCell ref="A127:B127"/>
    <mergeCell ref="A130:B130"/>
    <mergeCell ref="A131:B131"/>
    <mergeCell ref="A132:B132"/>
    <mergeCell ref="A136:B136"/>
    <mergeCell ref="J5:J6"/>
    <mergeCell ref="H4:J4"/>
    <mergeCell ref="F5:H5"/>
    <mergeCell ref="I5:I6"/>
    <mergeCell ref="G66:G67"/>
  </mergeCells>
  <pageMargins left="0.47244094488188981" right="0.19685039370078741" top="0.19685039370078741" bottom="0.19685039370078741" header="0.19685039370078741" footer="0.19685039370078741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0" zoomScaleNormal="100" workbookViewId="0">
      <selection activeCell="L7" sqref="L7"/>
    </sheetView>
  </sheetViews>
  <sheetFormatPr defaultRowHeight="14.25" x14ac:dyDescent="0.2"/>
  <cols>
    <col min="1" max="1" width="3.625" customWidth="1"/>
    <col min="2" max="2" width="37.25" customWidth="1"/>
    <col min="3" max="3" width="10.375" customWidth="1"/>
    <col min="4" max="4" width="11" style="1" customWidth="1"/>
    <col min="5" max="5" width="10.75" style="1" customWidth="1"/>
    <col min="6" max="6" width="10.375" style="1" customWidth="1"/>
    <col min="7" max="7" width="10.625" style="1" customWidth="1"/>
    <col min="8" max="8" width="10.25" style="1" customWidth="1"/>
    <col min="9" max="9" width="7.75" style="1" customWidth="1"/>
    <col min="10" max="10" width="12.125" customWidth="1"/>
    <col min="11" max="11" width="17.75" customWidth="1"/>
  </cols>
  <sheetData>
    <row r="1" spans="1:11" ht="21" x14ac:dyDescent="0.3">
      <c r="A1" s="519" t="s">
        <v>401</v>
      </c>
      <c r="B1" s="519"/>
      <c r="C1" s="519"/>
      <c r="D1" s="519"/>
      <c r="E1" s="519"/>
      <c r="F1" s="519"/>
      <c r="G1" s="519"/>
      <c r="H1" s="519"/>
      <c r="I1" s="519"/>
      <c r="J1" s="519"/>
      <c r="K1" s="192"/>
    </row>
    <row r="2" spans="1:11" ht="21" x14ac:dyDescent="0.3">
      <c r="A2" s="520" t="s">
        <v>402</v>
      </c>
      <c r="B2" s="520"/>
      <c r="C2" s="520"/>
      <c r="D2" s="520"/>
      <c r="E2" s="520"/>
      <c r="F2" s="520"/>
      <c r="G2" s="520"/>
      <c r="H2" s="520"/>
      <c r="I2" s="520"/>
      <c r="J2" s="520"/>
      <c r="K2" s="192"/>
    </row>
    <row r="3" spans="1:11" ht="21" x14ac:dyDescent="0.3">
      <c r="A3" s="519" t="s">
        <v>403</v>
      </c>
      <c r="B3" s="519"/>
      <c r="C3" s="519"/>
      <c r="D3" s="519"/>
      <c r="E3" s="519"/>
      <c r="F3" s="519"/>
      <c r="G3" s="519"/>
      <c r="H3" s="519"/>
      <c r="I3" s="519"/>
      <c r="J3" s="519"/>
      <c r="K3" s="192"/>
    </row>
    <row r="4" spans="1:11" ht="21" x14ac:dyDescent="0.35">
      <c r="A4" s="193"/>
      <c r="B4" s="193"/>
      <c r="C4" s="193"/>
      <c r="D4" s="521"/>
      <c r="E4" s="521"/>
      <c r="F4" s="521"/>
      <c r="G4" s="521"/>
      <c r="H4" s="521"/>
      <c r="I4" s="521"/>
      <c r="J4" s="521"/>
      <c r="K4" s="192"/>
    </row>
    <row r="5" spans="1:11" ht="59.25" customHeight="1" x14ac:dyDescent="0.3">
      <c r="A5" s="515" t="s">
        <v>78</v>
      </c>
      <c r="B5" s="515" t="s">
        <v>404</v>
      </c>
      <c r="C5" s="517" t="s">
        <v>405</v>
      </c>
      <c r="D5" s="524" t="s">
        <v>73</v>
      </c>
      <c r="E5" s="524" t="s">
        <v>418</v>
      </c>
      <c r="F5" s="524" t="s">
        <v>191</v>
      </c>
      <c r="G5" s="512" t="s">
        <v>423</v>
      </c>
      <c r="H5" s="513"/>
      <c r="I5" s="514"/>
      <c r="J5" s="524" t="s">
        <v>406</v>
      </c>
      <c r="K5" s="192"/>
    </row>
    <row r="6" spans="1:11" s="1" customFormat="1" ht="18.75" customHeight="1" x14ac:dyDescent="0.3">
      <c r="A6" s="516"/>
      <c r="B6" s="516"/>
      <c r="C6" s="518"/>
      <c r="D6" s="525"/>
      <c r="E6" s="525"/>
      <c r="F6" s="525"/>
      <c r="G6" s="194" t="s">
        <v>422</v>
      </c>
      <c r="H6" s="194" t="s">
        <v>302</v>
      </c>
      <c r="I6" s="194" t="s">
        <v>76</v>
      </c>
      <c r="J6" s="525"/>
      <c r="K6" s="192"/>
    </row>
    <row r="7" spans="1:11" ht="65.25" customHeight="1" x14ac:dyDescent="0.3">
      <c r="A7" s="522">
        <v>1</v>
      </c>
      <c r="B7" s="195" t="s">
        <v>407</v>
      </c>
      <c r="C7" s="196">
        <v>2000000</v>
      </c>
      <c r="D7" s="207"/>
      <c r="E7" s="207"/>
      <c r="F7" s="197"/>
      <c r="G7" s="197">
        <f>G8+G11+G12+G9+G10+G13</f>
        <v>1976552.47</v>
      </c>
      <c r="H7" s="197">
        <f>H9+H10+H12+H13</f>
        <v>23447.530000000028</v>
      </c>
      <c r="I7" s="209">
        <v>100</v>
      </c>
      <c r="J7" s="198"/>
      <c r="K7" s="192"/>
    </row>
    <row r="8" spans="1:11" ht="50.25" customHeight="1" x14ac:dyDescent="0.3">
      <c r="A8" s="523"/>
      <c r="B8" s="199" t="s">
        <v>408</v>
      </c>
      <c r="C8" s="200">
        <v>279000</v>
      </c>
      <c r="D8" s="230" t="s">
        <v>448</v>
      </c>
      <c r="E8" s="208" t="s">
        <v>449</v>
      </c>
      <c r="F8" s="200">
        <v>279000</v>
      </c>
      <c r="G8" s="200">
        <v>279000</v>
      </c>
      <c r="H8" s="200">
        <f t="shared" ref="H8:H12" si="0">C8-G8</f>
        <v>0</v>
      </c>
      <c r="I8" s="311">
        <f t="shared" ref="I8:I13" si="1">G8*100/C8</f>
        <v>100</v>
      </c>
      <c r="J8" s="206" t="s">
        <v>409</v>
      </c>
      <c r="K8" s="192"/>
    </row>
    <row r="9" spans="1:11" ht="64.5" customHeight="1" x14ac:dyDescent="0.3">
      <c r="A9" s="201"/>
      <c r="B9" s="199" t="s">
        <v>410</v>
      </c>
      <c r="C9" s="200">
        <v>349000</v>
      </c>
      <c r="D9" s="208" t="s">
        <v>447</v>
      </c>
      <c r="E9" s="208" t="s">
        <v>446</v>
      </c>
      <c r="F9" s="200">
        <v>349000</v>
      </c>
      <c r="G9" s="313">
        <v>327552.46999999997</v>
      </c>
      <c r="H9" s="200">
        <f>F9-G9</f>
        <v>21447.530000000028</v>
      </c>
      <c r="I9" s="311">
        <v>100</v>
      </c>
      <c r="J9" s="206" t="s">
        <v>411</v>
      </c>
      <c r="K9" s="192"/>
    </row>
    <row r="10" spans="1:11" ht="65.25" customHeight="1" x14ac:dyDescent="0.3">
      <c r="A10" s="201"/>
      <c r="B10" s="199" t="s">
        <v>419</v>
      </c>
      <c r="C10" s="200">
        <v>498000</v>
      </c>
      <c r="D10" s="208" t="s">
        <v>445</v>
      </c>
      <c r="E10" s="208" t="s">
        <v>444</v>
      </c>
      <c r="F10" s="200">
        <v>498000</v>
      </c>
      <c r="G10" s="313">
        <v>498000</v>
      </c>
      <c r="H10" s="200">
        <f>F10-G10</f>
        <v>0</v>
      </c>
      <c r="I10" s="311">
        <f>G10*100/F10</f>
        <v>100</v>
      </c>
      <c r="J10" s="206" t="s">
        <v>412</v>
      </c>
      <c r="K10" s="192"/>
    </row>
    <row r="11" spans="1:11" ht="68.25" customHeight="1" x14ac:dyDescent="0.3">
      <c r="A11" s="201"/>
      <c r="B11" s="199" t="s">
        <v>413</v>
      </c>
      <c r="C11" s="200">
        <v>200000</v>
      </c>
      <c r="D11" s="230" t="s">
        <v>425</v>
      </c>
      <c r="E11" s="208" t="s">
        <v>424</v>
      </c>
      <c r="F11" s="200">
        <v>200000</v>
      </c>
      <c r="G11" s="200">
        <v>200000</v>
      </c>
      <c r="H11" s="200">
        <f t="shared" si="0"/>
        <v>0</v>
      </c>
      <c r="I11" s="305">
        <f t="shared" si="1"/>
        <v>100</v>
      </c>
      <c r="J11" s="206" t="s">
        <v>414</v>
      </c>
      <c r="K11" s="192"/>
    </row>
    <row r="12" spans="1:11" ht="46.5" customHeight="1" x14ac:dyDescent="0.3">
      <c r="A12" s="201"/>
      <c r="B12" s="199" t="s">
        <v>415</v>
      </c>
      <c r="C12" s="200">
        <v>295000</v>
      </c>
      <c r="D12" s="230" t="s">
        <v>420</v>
      </c>
      <c r="E12" s="208" t="s">
        <v>421</v>
      </c>
      <c r="F12" s="200">
        <v>293000</v>
      </c>
      <c r="G12" s="200">
        <v>293000</v>
      </c>
      <c r="H12" s="200">
        <f t="shared" si="0"/>
        <v>2000</v>
      </c>
      <c r="I12" s="305">
        <v>100</v>
      </c>
      <c r="J12" s="206" t="s">
        <v>416</v>
      </c>
      <c r="K12" s="202"/>
    </row>
    <row r="13" spans="1:11" ht="47.25" x14ac:dyDescent="0.3">
      <c r="A13" s="201"/>
      <c r="B13" s="199" t="s">
        <v>617</v>
      </c>
      <c r="C13" s="200">
        <v>379000</v>
      </c>
      <c r="D13" s="208" t="s">
        <v>602</v>
      </c>
      <c r="E13" s="208" t="s">
        <v>603</v>
      </c>
      <c r="F13" s="200">
        <v>379000</v>
      </c>
      <c r="G13" s="313">
        <v>379000</v>
      </c>
      <c r="H13" s="200">
        <f>F13-G13</f>
        <v>0</v>
      </c>
      <c r="I13" s="305">
        <f t="shared" si="1"/>
        <v>100</v>
      </c>
      <c r="J13" s="206" t="s">
        <v>417</v>
      </c>
      <c r="K13" s="192"/>
    </row>
    <row r="14" spans="1:11" ht="21" x14ac:dyDescent="0.35">
      <c r="A14" s="510" t="s">
        <v>114</v>
      </c>
      <c r="B14" s="511"/>
      <c r="C14" s="203">
        <f>C8+C9+C10+C11+C12+C13</f>
        <v>2000000</v>
      </c>
      <c r="D14" s="203"/>
      <c r="E14" s="203"/>
      <c r="F14" s="210">
        <f>F8+F9+F10+F11+F12+F13</f>
        <v>1998000</v>
      </c>
      <c r="G14" s="210">
        <f>G8+G11+G12+G9+G10+G13</f>
        <v>1976552.47</v>
      </c>
      <c r="H14" s="210">
        <f>H10+H12+H9+H13</f>
        <v>23447.530000000028</v>
      </c>
      <c r="I14" s="211">
        <v>100</v>
      </c>
      <c r="J14" s="204"/>
      <c r="K14" s="192"/>
    </row>
    <row r="15" spans="1:11" ht="18.75" x14ac:dyDescent="0.3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192"/>
    </row>
    <row r="23" spans="7:7" x14ac:dyDescent="0.2">
      <c r="G23" s="205"/>
    </row>
  </sheetData>
  <mergeCells count="14">
    <mergeCell ref="A1:J1"/>
    <mergeCell ref="A2:J2"/>
    <mergeCell ref="A3:J3"/>
    <mergeCell ref="D4:J4"/>
    <mergeCell ref="A7:A8"/>
    <mergeCell ref="F5:F6"/>
    <mergeCell ref="D5:D6"/>
    <mergeCell ref="E5:E6"/>
    <mergeCell ref="J5:J6"/>
    <mergeCell ref="A14:B14"/>
    <mergeCell ref="G5:I5"/>
    <mergeCell ref="A5:A6"/>
    <mergeCell ref="B5:B6"/>
    <mergeCell ref="C5:C6"/>
  </mergeCells>
  <pageMargins left="0.19685039370078741" right="0.19685039370078741" top="0.31496062992125984" bottom="0.31496062992125984" header="0.31496062992125984" footer="0.31496062992125984"/>
  <pageSetup paperSize="9" scale="7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4" workbookViewId="0">
      <selection activeCell="L7" sqref="L7"/>
    </sheetView>
  </sheetViews>
  <sheetFormatPr defaultRowHeight="14.25" x14ac:dyDescent="0.2"/>
  <cols>
    <col min="1" max="1" width="3" style="1" customWidth="1"/>
    <col min="2" max="2" width="37.625" style="1" customWidth="1"/>
    <col min="3" max="3" width="12.25" style="1" customWidth="1"/>
    <col min="4" max="4" width="12.625" style="1" customWidth="1"/>
    <col min="5" max="5" width="12.125" style="1" customWidth="1"/>
    <col min="6" max="6" width="9.875" style="1" customWidth="1"/>
    <col min="7" max="7" width="9.5" style="1" customWidth="1"/>
    <col min="8" max="8" width="10.375" style="1" customWidth="1"/>
    <col min="9" max="9" width="14.375" style="1" customWidth="1"/>
    <col min="10" max="16384" width="9" style="1"/>
  </cols>
  <sheetData>
    <row r="1" spans="1:10" ht="21" customHeight="1" x14ac:dyDescent="0.35">
      <c r="A1" s="488" t="s">
        <v>142</v>
      </c>
      <c r="B1" s="488"/>
      <c r="C1" s="488"/>
      <c r="D1" s="488"/>
      <c r="E1" s="488"/>
      <c r="F1" s="488"/>
      <c r="G1" s="488"/>
      <c r="H1" s="488"/>
      <c r="I1" s="488"/>
    </row>
    <row r="2" spans="1:10" ht="18" customHeight="1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</row>
    <row r="3" spans="1:10" ht="22.5" customHeight="1" x14ac:dyDescent="0.35">
      <c r="A3" s="488" t="s">
        <v>116</v>
      </c>
      <c r="B3" s="488"/>
      <c r="C3" s="488"/>
      <c r="D3" s="488"/>
      <c r="E3" s="488"/>
      <c r="F3" s="488"/>
      <c r="G3" s="488"/>
      <c r="H3" s="488"/>
      <c r="I3" s="488"/>
    </row>
    <row r="4" spans="1:10" ht="21" customHeight="1" x14ac:dyDescent="0.2">
      <c r="H4" s="526" t="s">
        <v>609</v>
      </c>
      <c r="I4" s="526"/>
      <c r="J4" s="526"/>
    </row>
    <row r="5" spans="1:10" ht="19.5" customHeight="1" x14ac:dyDescent="0.2">
      <c r="A5" s="489" t="s">
        <v>78</v>
      </c>
      <c r="B5" s="489" t="s">
        <v>79</v>
      </c>
      <c r="C5" s="489" t="s">
        <v>80</v>
      </c>
      <c r="D5" s="489"/>
      <c r="E5" s="489"/>
      <c r="F5" s="491" t="s">
        <v>192</v>
      </c>
      <c r="G5" s="492"/>
      <c r="H5" s="492"/>
      <c r="I5" s="490" t="s">
        <v>81</v>
      </c>
      <c r="J5" s="527" t="s">
        <v>434</v>
      </c>
    </row>
    <row r="6" spans="1:10" ht="40.5" customHeight="1" x14ac:dyDescent="0.2">
      <c r="A6" s="489"/>
      <c r="B6" s="489"/>
      <c r="C6" s="47" t="s">
        <v>114</v>
      </c>
      <c r="D6" s="48" t="s">
        <v>82</v>
      </c>
      <c r="E6" s="48" t="s">
        <v>83</v>
      </c>
      <c r="F6" s="217" t="s">
        <v>196</v>
      </c>
      <c r="G6" s="216" t="s">
        <v>73</v>
      </c>
      <c r="H6" s="217" t="s">
        <v>257</v>
      </c>
      <c r="I6" s="490"/>
      <c r="J6" s="528"/>
    </row>
    <row r="7" spans="1:10" ht="21" customHeight="1" x14ac:dyDescent="0.3">
      <c r="A7" s="216"/>
      <c r="B7" s="216" t="s">
        <v>143</v>
      </c>
      <c r="C7" s="51">
        <f>D7+E7</f>
        <v>93962000</v>
      </c>
      <c r="D7" s="52">
        <f>D8+D38+D47</f>
        <v>74923700</v>
      </c>
      <c r="E7" s="52">
        <f>E8+E38+E47</f>
        <v>19038300</v>
      </c>
      <c r="F7" s="52"/>
      <c r="G7" s="53"/>
      <c r="H7" s="53"/>
      <c r="I7" s="56"/>
      <c r="J7" s="219"/>
    </row>
    <row r="8" spans="1:10" ht="39" customHeight="1" x14ac:dyDescent="0.3">
      <c r="A8" s="57"/>
      <c r="B8" s="58" t="s">
        <v>85</v>
      </c>
      <c r="C8" s="52">
        <f>C9+C34+C36</f>
        <v>38467300</v>
      </c>
      <c r="D8" s="52">
        <f t="shared" ref="D8:E8" si="0">D9+D34+D36</f>
        <v>27829000</v>
      </c>
      <c r="E8" s="52">
        <f t="shared" si="0"/>
        <v>10638300</v>
      </c>
      <c r="F8" s="64" t="s">
        <v>261</v>
      </c>
      <c r="G8" s="59"/>
      <c r="H8" s="59"/>
      <c r="I8" s="57"/>
      <c r="J8" s="219"/>
    </row>
    <row r="9" spans="1:10" ht="39.75" customHeight="1" x14ac:dyDescent="0.3">
      <c r="A9" s="60">
        <v>1</v>
      </c>
      <c r="B9" s="61" t="s">
        <v>86</v>
      </c>
      <c r="C9" s="52">
        <f>C10+C26+C27+C28+C32+C33</f>
        <v>11567300</v>
      </c>
      <c r="D9" s="52">
        <f t="shared" ref="D9:E9" si="1">D10+D26+D27+D28+D32+D33</f>
        <v>929000</v>
      </c>
      <c r="E9" s="52">
        <f t="shared" si="1"/>
        <v>10638300</v>
      </c>
      <c r="F9" s="62"/>
      <c r="G9" s="59"/>
      <c r="H9" s="59"/>
      <c r="I9" s="9" t="s">
        <v>140</v>
      </c>
      <c r="J9" s="219"/>
    </row>
    <row r="10" spans="1:10" ht="25.5" customHeight="1" x14ac:dyDescent="0.3">
      <c r="A10" s="31"/>
      <c r="B10" s="8" t="s">
        <v>87</v>
      </c>
      <c r="C10" s="10">
        <f>C11+C14+C21+C25</f>
        <v>4986104</v>
      </c>
      <c r="D10" s="10">
        <f t="shared" ref="D10:E10" si="2">D11+D14+D21+D25</f>
        <v>889000</v>
      </c>
      <c r="E10" s="10">
        <f t="shared" si="2"/>
        <v>4097104</v>
      </c>
      <c r="F10" s="10"/>
      <c r="G10" s="7"/>
      <c r="H10" s="7"/>
      <c r="I10" s="63"/>
      <c r="J10" s="219"/>
    </row>
    <row r="11" spans="1:10" ht="24.75" customHeight="1" x14ac:dyDescent="0.3">
      <c r="A11" s="31"/>
      <c r="B11" s="8" t="s">
        <v>88</v>
      </c>
      <c r="C11" s="10">
        <v>693600</v>
      </c>
      <c r="D11" s="10">
        <v>0</v>
      </c>
      <c r="E11" s="10">
        <v>693600</v>
      </c>
      <c r="F11" s="10"/>
      <c r="G11" s="7"/>
      <c r="H11" s="7"/>
      <c r="I11" s="9" t="s">
        <v>118</v>
      </c>
      <c r="J11" s="219"/>
    </row>
    <row r="12" spans="1:10" ht="39" customHeight="1" x14ac:dyDescent="0.3">
      <c r="A12" s="31"/>
      <c r="B12" s="6" t="s">
        <v>89</v>
      </c>
      <c r="C12" s="10"/>
      <c r="D12" s="10"/>
      <c r="E12" s="10"/>
      <c r="F12" s="10"/>
      <c r="G12" s="7"/>
      <c r="H12" s="7"/>
      <c r="I12" s="63"/>
      <c r="J12" s="219"/>
    </row>
    <row r="13" spans="1:10" ht="37.5" x14ac:dyDescent="0.3">
      <c r="A13" s="31"/>
      <c r="B13" s="6" t="s">
        <v>90</v>
      </c>
      <c r="C13" s="10"/>
      <c r="D13" s="10"/>
      <c r="E13" s="10"/>
      <c r="F13" s="10"/>
      <c r="G13" s="7"/>
      <c r="H13" s="7"/>
      <c r="I13" s="63"/>
      <c r="J13" s="219"/>
    </row>
    <row r="14" spans="1:10" ht="39" customHeight="1" x14ac:dyDescent="0.3">
      <c r="A14" s="31"/>
      <c r="B14" s="6" t="s">
        <v>91</v>
      </c>
      <c r="C14" s="10">
        <f>D14+E14</f>
        <v>3186660</v>
      </c>
      <c r="D14" s="10">
        <f>D16</f>
        <v>790000</v>
      </c>
      <c r="E14" s="10">
        <f>E15</f>
        <v>2396660</v>
      </c>
      <c r="F14" s="10"/>
      <c r="G14" s="7"/>
      <c r="H14" s="7"/>
      <c r="I14" s="9" t="s">
        <v>119</v>
      </c>
      <c r="J14" s="219"/>
    </row>
    <row r="15" spans="1:10" ht="18.75" x14ac:dyDescent="0.3">
      <c r="A15" s="31"/>
      <c r="B15" s="6" t="s">
        <v>137</v>
      </c>
      <c r="C15" s="10"/>
      <c r="D15" s="10"/>
      <c r="E15" s="10">
        <v>2396660</v>
      </c>
      <c r="F15" s="10"/>
      <c r="G15" s="7"/>
      <c r="H15" s="7"/>
      <c r="I15" s="9"/>
      <c r="J15" s="219"/>
    </row>
    <row r="16" spans="1:10" ht="18.75" x14ac:dyDescent="0.3">
      <c r="A16" s="31"/>
      <c r="B16" s="6" t="s">
        <v>139</v>
      </c>
      <c r="C16" s="10"/>
      <c r="D16" s="10">
        <f>D17+D18+D19+D20</f>
        <v>790000</v>
      </c>
      <c r="E16" s="10"/>
      <c r="F16" s="10"/>
      <c r="G16" s="7"/>
      <c r="H16" s="7"/>
      <c r="I16" s="9"/>
      <c r="J16" s="219"/>
    </row>
    <row r="17" spans="1:10" ht="48" x14ac:dyDescent="0.3">
      <c r="A17" s="31"/>
      <c r="B17" s="6" t="s">
        <v>133</v>
      </c>
      <c r="C17" s="10"/>
      <c r="D17" s="10">
        <v>450000</v>
      </c>
      <c r="E17" s="10"/>
      <c r="F17" s="64" t="s">
        <v>400</v>
      </c>
      <c r="G17" s="62" t="s">
        <v>350</v>
      </c>
      <c r="H17" s="159" t="s">
        <v>382</v>
      </c>
      <c r="I17" s="9"/>
      <c r="J17" s="219"/>
    </row>
    <row r="18" spans="1:10" ht="48" x14ac:dyDescent="0.3">
      <c r="A18" s="31"/>
      <c r="B18" s="6" t="s">
        <v>134</v>
      </c>
      <c r="C18" s="10"/>
      <c r="D18" s="10">
        <v>50000</v>
      </c>
      <c r="E18" s="10"/>
      <c r="F18" s="64" t="s">
        <v>400</v>
      </c>
      <c r="G18" s="62" t="s">
        <v>349</v>
      </c>
      <c r="H18" s="159" t="s">
        <v>382</v>
      </c>
      <c r="I18" s="9"/>
      <c r="J18" s="219"/>
    </row>
    <row r="19" spans="1:10" ht="48" x14ac:dyDescent="0.3">
      <c r="A19" s="31"/>
      <c r="B19" s="6" t="s">
        <v>135</v>
      </c>
      <c r="C19" s="10"/>
      <c r="D19" s="10">
        <v>170000</v>
      </c>
      <c r="E19" s="10"/>
      <c r="F19" s="64" t="s">
        <v>400</v>
      </c>
      <c r="G19" s="62" t="s">
        <v>349</v>
      </c>
      <c r="H19" s="159" t="s">
        <v>382</v>
      </c>
      <c r="I19" s="9"/>
      <c r="J19" s="219"/>
    </row>
    <row r="20" spans="1:10" ht="48" x14ac:dyDescent="0.3">
      <c r="A20" s="31"/>
      <c r="B20" s="6" t="s">
        <v>136</v>
      </c>
      <c r="C20" s="10"/>
      <c r="D20" s="10">
        <v>120000</v>
      </c>
      <c r="E20" s="10"/>
      <c r="F20" s="64" t="s">
        <v>400</v>
      </c>
      <c r="G20" s="62" t="s">
        <v>349</v>
      </c>
      <c r="H20" s="159" t="s">
        <v>382</v>
      </c>
      <c r="I20" s="9"/>
      <c r="J20" s="219"/>
    </row>
    <row r="21" spans="1:10" ht="18.75" x14ac:dyDescent="0.3">
      <c r="A21" s="31"/>
      <c r="B21" s="8" t="s">
        <v>92</v>
      </c>
      <c r="C21" s="10">
        <f>D21+E21</f>
        <v>820000</v>
      </c>
      <c r="D21" s="10">
        <f>D23</f>
        <v>99000</v>
      </c>
      <c r="E21" s="10">
        <f>E22</f>
        <v>721000</v>
      </c>
      <c r="F21" s="10"/>
      <c r="G21" s="7"/>
      <c r="H21" s="7"/>
      <c r="I21" s="9" t="s">
        <v>120</v>
      </c>
      <c r="J21" s="219"/>
    </row>
    <row r="22" spans="1:10" ht="18.75" x14ac:dyDescent="0.3">
      <c r="A22" s="31"/>
      <c r="B22" s="6" t="s">
        <v>137</v>
      </c>
      <c r="C22" s="10"/>
      <c r="D22" s="10"/>
      <c r="E22" s="10">
        <v>721000</v>
      </c>
      <c r="F22" s="10"/>
      <c r="G22" s="7"/>
      <c r="H22" s="7"/>
      <c r="I22" s="9"/>
      <c r="J22" s="219"/>
    </row>
    <row r="23" spans="1:10" ht="18.75" x14ac:dyDescent="0.3">
      <c r="A23" s="31"/>
      <c r="B23" s="6" t="s">
        <v>139</v>
      </c>
      <c r="C23" s="10"/>
      <c r="D23" s="10">
        <f>D24</f>
        <v>99000</v>
      </c>
      <c r="E23" s="10"/>
      <c r="F23" s="10"/>
      <c r="G23" s="7"/>
      <c r="H23" s="7"/>
      <c r="I23" s="9"/>
      <c r="J23" s="219"/>
    </row>
    <row r="24" spans="1:10" ht="47.25" x14ac:dyDescent="0.3">
      <c r="A24" s="31"/>
      <c r="B24" s="6" t="s">
        <v>138</v>
      </c>
      <c r="C24" s="10"/>
      <c r="D24" s="10">
        <v>99000</v>
      </c>
      <c r="E24" s="10"/>
      <c r="F24" s="64" t="s">
        <v>400</v>
      </c>
      <c r="G24" s="62" t="s">
        <v>347</v>
      </c>
      <c r="H24" s="64" t="s">
        <v>383</v>
      </c>
      <c r="I24" s="9"/>
      <c r="J24" s="219"/>
    </row>
    <row r="25" spans="1:10" ht="37.5" x14ac:dyDescent="0.3">
      <c r="A25" s="31"/>
      <c r="B25" s="6" t="s">
        <v>93</v>
      </c>
      <c r="C25" s="10">
        <f>E25</f>
        <v>285844</v>
      </c>
      <c r="D25" s="10"/>
      <c r="E25" s="10">
        <v>285844</v>
      </c>
      <c r="F25" s="10"/>
      <c r="G25" s="7"/>
      <c r="H25" s="7"/>
      <c r="I25" s="9" t="s">
        <v>140</v>
      </c>
      <c r="J25" s="219"/>
    </row>
    <row r="26" spans="1:10" ht="18.75" x14ac:dyDescent="0.3">
      <c r="A26" s="31"/>
      <c r="B26" s="8" t="s">
        <v>94</v>
      </c>
      <c r="C26" s="10">
        <f>E26</f>
        <v>200000</v>
      </c>
      <c r="D26" s="10"/>
      <c r="E26" s="10">
        <v>200000</v>
      </c>
      <c r="F26" s="10"/>
      <c r="G26" s="7"/>
      <c r="H26" s="7"/>
      <c r="I26" s="9" t="s">
        <v>144</v>
      </c>
      <c r="J26" s="219"/>
    </row>
    <row r="27" spans="1:10" ht="37.5" x14ac:dyDescent="0.3">
      <c r="A27" s="31"/>
      <c r="B27" s="6" t="s">
        <v>95</v>
      </c>
      <c r="C27" s="10">
        <f>E27</f>
        <v>250000</v>
      </c>
      <c r="D27" s="10"/>
      <c r="E27" s="10">
        <v>250000</v>
      </c>
      <c r="F27" s="10"/>
      <c r="G27" s="7"/>
      <c r="H27" s="7"/>
      <c r="I27" s="9" t="s">
        <v>121</v>
      </c>
      <c r="J27" s="219"/>
    </row>
    <row r="28" spans="1:10" ht="37.5" x14ac:dyDescent="0.3">
      <c r="A28" s="31"/>
      <c r="B28" s="6" t="s">
        <v>96</v>
      </c>
      <c r="C28" s="10">
        <f>D28+E28</f>
        <v>773200</v>
      </c>
      <c r="D28" s="10">
        <f>D30</f>
        <v>40000</v>
      </c>
      <c r="E28" s="10">
        <f>E29</f>
        <v>733200</v>
      </c>
      <c r="F28" s="10"/>
      <c r="G28" s="7"/>
      <c r="H28" s="7"/>
      <c r="I28" s="9" t="s">
        <v>121</v>
      </c>
      <c r="J28" s="219"/>
    </row>
    <row r="29" spans="1:10" ht="18.75" x14ac:dyDescent="0.3">
      <c r="A29" s="31"/>
      <c r="B29" s="6" t="s">
        <v>137</v>
      </c>
      <c r="C29" s="10"/>
      <c r="D29" s="10"/>
      <c r="E29" s="10">
        <v>733200</v>
      </c>
      <c r="F29" s="10"/>
      <c r="G29" s="7"/>
      <c r="H29" s="7"/>
      <c r="I29" s="9"/>
      <c r="J29" s="219"/>
    </row>
    <row r="30" spans="1:10" ht="18.75" x14ac:dyDescent="0.3">
      <c r="A30" s="31"/>
      <c r="B30" s="6" t="s">
        <v>139</v>
      </c>
      <c r="C30" s="10"/>
      <c r="D30" s="10">
        <f>D31</f>
        <v>40000</v>
      </c>
      <c r="E30" s="10"/>
      <c r="F30" s="10"/>
      <c r="G30" s="7"/>
      <c r="H30" s="7"/>
      <c r="I30" s="9"/>
      <c r="J30" s="219"/>
    </row>
    <row r="31" spans="1:10" ht="30.75" customHeight="1" x14ac:dyDescent="0.3">
      <c r="A31" s="31"/>
      <c r="B31" s="6" t="s">
        <v>141</v>
      </c>
      <c r="C31" s="10"/>
      <c r="D31" s="10">
        <v>40000</v>
      </c>
      <c r="E31" s="10"/>
      <c r="F31" s="62" t="s">
        <v>400</v>
      </c>
      <c r="G31" s="158" t="s">
        <v>380</v>
      </c>
      <c r="H31" s="157" t="s">
        <v>381</v>
      </c>
      <c r="I31" s="9"/>
      <c r="J31" s="219"/>
    </row>
    <row r="32" spans="1:10" ht="18.75" x14ac:dyDescent="0.3">
      <c r="A32" s="31"/>
      <c r="B32" s="8" t="s">
        <v>97</v>
      </c>
      <c r="C32" s="10">
        <f>E32</f>
        <v>5246252</v>
      </c>
      <c r="D32" s="10"/>
      <c r="E32" s="10">
        <v>5246252</v>
      </c>
      <c r="F32" s="10"/>
      <c r="G32" s="7"/>
      <c r="H32" s="7"/>
      <c r="I32" s="9" t="s">
        <v>122</v>
      </c>
      <c r="J32" s="219"/>
    </row>
    <row r="33" spans="1:10" ht="18.75" x14ac:dyDescent="0.3">
      <c r="A33" s="31"/>
      <c r="B33" s="8" t="s">
        <v>98</v>
      </c>
      <c r="C33" s="10">
        <f>E33</f>
        <v>111744</v>
      </c>
      <c r="D33" s="10"/>
      <c r="E33" s="10">
        <v>111744</v>
      </c>
      <c r="F33" s="10"/>
      <c r="G33" s="7"/>
      <c r="H33" s="7"/>
      <c r="I33" s="9" t="s">
        <v>121</v>
      </c>
      <c r="J33" s="219"/>
    </row>
    <row r="34" spans="1:10" ht="37.5" x14ac:dyDescent="0.3">
      <c r="A34" s="60">
        <v>2</v>
      </c>
      <c r="B34" s="58" t="s">
        <v>117</v>
      </c>
      <c r="C34" s="52">
        <f>D34</f>
        <v>20000000</v>
      </c>
      <c r="D34" s="52">
        <f>D35</f>
        <v>20000000</v>
      </c>
      <c r="E34" s="52">
        <f>E35</f>
        <v>0</v>
      </c>
      <c r="F34" s="62"/>
      <c r="G34" s="59"/>
      <c r="H34" s="59"/>
      <c r="I34" s="53"/>
      <c r="J34" s="219"/>
    </row>
    <row r="35" spans="1:10" ht="75" x14ac:dyDescent="0.3">
      <c r="A35" s="31"/>
      <c r="B35" s="6" t="s">
        <v>259</v>
      </c>
      <c r="C35" s="10"/>
      <c r="D35" s="10">
        <v>20000000</v>
      </c>
      <c r="E35" s="10">
        <v>0</v>
      </c>
      <c r="F35" s="64" t="s">
        <v>369</v>
      </c>
      <c r="G35" s="147" t="s">
        <v>348</v>
      </c>
      <c r="H35" s="147" t="s">
        <v>379</v>
      </c>
      <c r="I35" s="65" t="s">
        <v>123</v>
      </c>
      <c r="J35" s="219"/>
    </row>
    <row r="36" spans="1:10" ht="37.5" x14ac:dyDescent="0.3">
      <c r="A36" s="60">
        <v>3</v>
      </c>
      <c r="B36" s="58" t="s">
        <v>99</v>
      </c>
      <c r="C36" s="52">
        <f>D36</f>
        <v>6900000</v>
      </c>
      <c r="D36" s="52">
        <f>D37</f>
        <v>6900000</v>
      </c>
      <c r="E36" s="52">
        <f>E37</f>
        <v>0</v>
      </c>
      <c r="F36" s="62"/>
      <c r="G36" s="59"/>
      <c r="H36" s="59"/>
      <c r="I36" s="53"/>
      <c r="J36" s="219"/>
    </row>
    <row r="37" spans="1:10" ht="63.75" x14ac:dyDescent="0.3">
      <c r="A37" s="31"/>
      <c r="B37" s="218" t="s">
        <v>100</v>
      </c>
      <c r="C37" s="10"/>
      <c r="D37" s="10">
        <v>6900000</v>
      </c>
      <c r="E37" s="10">
        <v>0</v>
      </c>
      <c r="F37" s="64" t="s">
        <v>369</v>
      </c>
      <c r="G37" s="62" t="s">
        <v>344</v>
      </c>
      <c r="H37" s="64" t="s">
        <v>345</v>
      </c>
      <c r="I37" s="65" t="s">
        <v>124</v>
      </c>
      <c r="J37" s="219"/>
    </row>
    <row r="38" spans="1:10" ht="56.25" x14ac:dyDescent="0.3">
      <c r="A38" s="31"/>
      <c r="B38" s="58" t="s">
        <v>101</v>
      </c>
      <c r="C38" s="52">
        <f>C39+C41</f>
        <v>10094700</v>
      </c>
      <c r="D38" s="52">
        <f>D39+D41</f>
        <v>2094700</v>
      </c>
      <c r="E38" s="52">
        <f>E39+E41</f>
        <v>8000000</v>
      </c>
      <c r="F38" s="52"/>
      <c r="G38" s="59"/>
      <c r="H38" s="59"/>
      <c r="I38" s="63"/>
      <c r="J38" s="219"/>
    </row>
    <row r="39" spans="1:10" ht="56.25" x14ac:dyDescent="0.3">
      <c r="A39" s="60">
        <v>4</v>
      </c>
      <c r="B39" s="66" t="s">
        <v>102</v>
      </c>
      <c r="C39" s="52">
        <f>D39</f>
        <v>2094700</v>
      </c>
      <c r="D39" s="52">
        <f>D40</f>
        <v>2094700</v>
      </c>
      <c r="E39" s="52">
        <f>E40</f>
        <v>0</v>
      </c>
      <c r="F39" s="62"/>
      <c r="G39" s="59"/>
      <c r="H39" s="59"/>
      <c r="I39" s="53"/>
      <c r="J39" s="219"/>
    </row>
    <row r="40" spans="1:10" ht="56.25" x14ac:dyDescent="0.3">
      <c r="A40" s="31"/>
      <c r="B40" s="6" t="s">
        <v>260</v>
      </c>
      <c r="C40" s="10"/>
      <c r="D40" s="10">
        <v>2094700</v>
      </c>
      <c r="E40" s="10">
        <v>0</v>
      </c>
      <c r="F40" s="64" t="s">
        <v>369</v>
      </c>
      <c r="G40" s="64" t="s">
        <v>346</v>
      </c>
      <c r="H40" s="64" t="s">
        <v>386</v>
      </c>
      <c r="I40" s="65" t="s">
        <v>125</v>
      </c>
      <c r="J40" s="219"/>
    </row>
    <row r="41" spans="1:10" ht="37.5" x14ac:dyDescent="0.3">
      <c r="A41" s="60">
        <v>5</v>
      </c>
      <c r="B41" s="58" t="s">
        <v>103</v>
      </c>
      <c r="C41" s="52">
        <f>E41</f>
        <v>8000000</v>
      </c>
      <c r="D41" s="52">
        <v>0</v>
      </c>
      <c r="E41" s="52">
        <f>E42</f>
        <v>8000000</v>
      </c>
      <c r="F41" s="62" t="s">
        <v>198</v>
      </c>
      <c r="G41" s="59"/>
      <c r="H41" s="59"/>
      <c r="I41" s="53"/>
      <c r="J41" s="219"/>
    </row>
    <row r="42" spans="1:10" ht="31.5" x14ac:dyDescent="0.3">
      <c r="A42" s="31"/>
      <c r="B42" s="8" t="s">
        <v>104</v>
      </c>
      <c r="C42" s="10"/>
      <c r="D42" s="10">
        <v>0</v>
      </c>
      <c r="E42" s="10">
        <f>E43+E44+E45+E46</f>
        <v>8000000</v>
      </c>
      <c r="F42" s="10"/>
      <c r="G42" s="7"/>
      <c r="H42" s="7"/>
      <c r="I42" s="65" t="s">
        <v>125</v>
      </c>
      <c r="J42" s="219"/>
    </row>
    <row r="43" spans="1:10" ht="18.75" x14ac:dyDescent="0.3">
      <c r="A43" s="31"/>
      <c r="B43" s="67" t="s">
        <v>105</v>
      </c>
      <c r="C43" s="10"/>
      <c r="D43" s="10"/>
      <c r="E43" s="10">
        <v>2000000</v>
      </c>
      <c r="F43" s="10"/>
      <c r="G43" s="7"/>
      <c r="H43" s="7"/>
      <c r="I43" s="63"/>
      <c r="J43" s="219"/>
    </row>
    <row r="44" spans="1:10" ht="18.75" x14ac:dyDescent="0.3">
      <c r="A44" s="31"/>
      <c r="B44" s="67" t="s">
        <v>106</v>
      </c>
      <c r="C44" s="10"/>
      <c r="D44" s="10"/>
      <c r="E44" s="10">
        <v>2000000</v>
      </c>
      <c r="F44" s="10"/>
      <c r="G44" s="7"/>
      <c r="H44" s="7"/>
      <c r="I44" s="63"/>
      <c r="J44" s="219"/>
    </row>
    <row r="45" spans="1:10" ht="18.75" x14ac:dyDescent="0.3">
      <c r="A45" s="31"/>
      <c r="B45" s="67" t="s">
        <v>107</v>
      </c>
      <c r="C45" s="10"/>
      <c r="D45" s="10"/>
      <c r="E45" s="10">
        <v>2000000</v>
      </c>
      <c r="F45" s="10"/>
      <c r="G45" s="7"/>
      <c r="H45" s="7"/>
      <c r="I45" s="63"/>
      <c r="J45" s="219"/>
    </row>
    <row r="46" spans="1:10" ht="21" customHeight="1" x14ac:dyDescent="0.3">
      <c r="A46" s="31"/>
      <c r="B46" s="67" t="s">
        <v>108</v>
      </c>
      <c r="C46" s="10"/>
      <c r="D46" s="10"/>
      <c r="E46" s="10">
        <v>2000000</v>
      </c>
      <c r="F46" s="10"/>
      <c r="G46" s="7"/>
      <c r="H46" s="7"/>
      <c r="I46" s="63"/>
      <c r="J46" s="219"/>
    </row>
    <row r="47" spans="1:10" ht="18.75" x14ac:dyDescent="0.3">
      <c r="A47" s="31"/>
      <c r="B47" s="57" t="s">
        <v>109</v>
      </c>
      <c r="C47" s="52">
        <f>C48+C50</f>
        <v>45400000</v>
      </c>
      <c r="D47" s="52">
        <f t="shared" ref="D47:E47" si="3">D48+D50</f>
        <v>45000000</v>
      </c>
      <c r="E47" s="52">
        <f t="shared" si="3"/>
        <v>400000</v>
      </c>
      <c r="F47" s="52"/>
      <c r="G47" s="59"/>
      <c r="H47" s="59"/>
      <c r="I47" s="63"/>
      <c r="J47" s="219"/>
    </row>
    <row r="48" spans="1:10" ht="35.25" customHeight="1" x14ac:dyDescent="0.3">
      <c r="A48" s="60">
        <v>6</v>
      </c>
      <c r="B48" s="58" t="s">
        <v>110</v>
      </c>
      <c r="C48" s="52">
        <f>D48</f>
        <v>45000000</v>
      </c>
      <c r="D48" s="52">
        <f>D49</f>
        <v>45000000</v>
      </c>
      <c r="E48" s="52">
        <f>E49</f>
        <v>0</v>
      </c>
      <c r="F48" s="62"/>
      <c r="G48" s="59"/>
      <c r="H48" s="59"/>
      <c r="I48" s="53"/>
      <c r="J48" s="219"/>
    </row>
    <row r="49" spans="1:10" ht="48" customHeight="1" x14ac:dyDescent="0.3">
      <c r="A49" s="31"/>
      <c r="B49" s="69" t="s">
        <v>111</v>
      </c>
      <c r="C49" s="10"/>
      <c r="D49" s="10">
        <v>45000000</v>
      </c>
      <c r="E49" s="10">
        <v>0</v>
      </c>
      <c r="F49" s="64" t="s">
        <v>369</v>
      </c>
      <c r="G49" s="70" t="s">
        <v>329</v>
      </c>
      <c r="H49" s="64" t="s">
        <v>293</v>
      </c>
      <c r="I49" s="65" t="s">
        <v>31</v>
      </c>
      <c r="J49" s="219"/>
    </row>
    <row r="50" spans="1:10" ht="18.75" x14ac:dyDescent="0.3">
      <c r="A50" s="60">
        <v>7</v>
      </c>
      <c r="B50" s="57" t="s">
        <v>112</v>
      </c>
      <c r="C50" s="52">
        <f>E50</f>
        <v>400000</v>
      </c>
      <c r="D50" s="52">
        <v>0</v>
      </c>
      <c r="E50" s="52">
        <f>E51</f>
        <v>400000</v>
      </c>
      <c r="F50" s="62" t="s">
        <v>261</v>
      </c>
      <c r="G50" s="59"/>
      <c r="H50" s="59"/>
      <c r="I50" s="53"/>
      <c r="J50" s="219"/>
    </row>
    <row r="51" spans="1:10" ht="30.75" x14ac:dyDescent="0.3">
      <c r="A51" s="31"/>
      <c r="B51" s="8" t="s">
        <v>113</v>
      </c>
      <c r="C51" s="10"/>
      <c r="D51" s="10">
        <v>0</v>
      </c>
      <c r="E51" s="10">
        <v>400000</v>
      </c>
      <c r="F51" s="10"/>
      <c r="G51" s="7"/>
      <c r="H51" s="7"/>
      <c r="I51" s="71" t="s">
        <v>145</v>
      </c>
      <c r="J51" s="219"/>
    </row>
    <row r="52" spans="1:10" ht="18.75" x14ac:dyDescent="0.3">
      <c r="A52" s="57"/>
      <c r="B52" s="53" t="s">
        <v>114</v>
      </c>
      <c r="C52" s="52">
        <f>C8+C38+C47</f>
        <v>93962000</v>
      </c>
      <c r="D52" s="52">
        <f t="shared" ref="D52:E52" si="4">D8+D38+D47</f>
        <v>74923700</v>
      </c>
      <c r="E52" s="52">
        <f t="shared" si="4"/>
        <v>19038300</v>
      </c>
      <c r="F52" s="52"/>
      <c r="G52" s="59"/>
      <c r="H52" s="59"/>
      <c r="I52" s="57"/>
      <c r="J52" s="219"/>
    </row>
    <row r="53" spans="1:10" ht="21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10" ht="21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10" ht="21" x14ac:dyDescent="0.35">
      <c r="A55" s="3"/>
      <c r="B55" s="3"/>
      <c r="C55" s="3"/>
      <c r="D55" s="3"/>
      <c r="E55" s="3"/>
      <c r="F55" s="3"/>
      <c r="G55" s="3"/>
      <c r="H55" s="3"/>
      <c r="I55" s="3"/>
    </row>
    <row r="56" spans="1:10" ht="2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10" ht="21" x14ac:dyDescent="0.35">
      <c r="A57" s="3"/>
      <c r="B57" s="3"/>
      <c r="C57" s="3"/>
      <c r="D57" s="3"/>
      <c r="E57" s="3"/>
      <c r="F57" s="3"/>
      <c r="G57" s="3"/>
      <c r="H57" s="3"/>
      <c r="I57" s="3"/>
    </row>
    <row r="58" spans="1:10" ht="21" x14ac:dyDescent="0.35">
      <c r="A58" s="3"/>
      <c r="B58" s="3"/>
      <c r="C58" s="3"/>
      <c r="D58" s="3"/>
      <c r="E58" s="3"/>
      <c r="F58" s="3"/>
      <c r="G58" s="3"/>
      <c r="H58" s="3"/>
      <c r="I58" s="3"/>
    </row>
    <row r="59" spans="1:10" ht="21" x14ac:dyDescent="0.35">
      <c r="A59" s="3"/>
      <c r="B59" s="3"/>
      <c r="C59" s="3"/>
      <c r="D59" s="3"/>
      <c r="E59" s="3"/>
      <c r="F59" s="3"/>
      <c r="G59" s="3"/>
      <c r="H59" s="3"/>
      <c r="I59" s="3"/>
    </row>
    <row r="60" spans="1:10" ht="21" x14ac:dyDescent="0.35">
      <c r="A60" s="3"/>
      <c r="B60" s="3"/>
      <c r="C60" s="3"/>
      <c r="D60" s="3"/>
      <c r="E60" s="3"/>
      <c r="F60" s="3"/>
      <c r="G60" s="3"/>
      <c r="H60" s="3"/>
      <c r="I60" s="3"/>
    </row>
    <row r="61" spans="1:10" ht="21" x14ac:dyDescent="0.35">
      <c r="A61" s="3"/>
      <c r="B61" s="3"/>
      <c r="C61" s="3"/>
      <c r="D61" s="3"/>
      <c r="E61" s="3"/>
      <c r="F61" s="3"/>
      <c r="G61" s="3"/>
      <c r="H61" s="3"/>
      <c r="I61" s="3"/>
    </row>
    <row r="62" spans="1:10" ht="21" x14ac:dyDescent="0.35">
      <c r="A62" s="3"/>
      <c r="B62" s="3"/>
      <c r="C62" s="3"/>
      <c r="D62" s="3"/>
      <c r="E62" s="3"/>
      <c r="F62" s="3"/>
      <c r="G62" s="3"/>
      <c r="H62" s="3"/>
      <c r="I62" s="3"/>
    </row>
    <row r="63" spans="1:10" ht="21" x14ac:dyDescent="0.35">
      <c r="A63" s="3"/>
      <c r="B63" s="3"/>
      <c r="C63" s="3"/>
      <c r="D63" s="3"/>
      <c r="E63" s="3"/>
      <c r="F63" s="3"/>
      <c r="G63" s="3"/>
      <c r="H63" s="3"/>
      <c r="I63" s="3"/>
    </row>
    <row r="64" spans="1:10" ht="21" x14ac:dyDescent="0.35">
      <c r="A64" s="3"/>
      <c r="B64" s="3"/>
      <c r="C64" s="3"/>
      <c r="D64" s="3"/>
      <c r="E64" s="3"/>
      <c r="F64" s="3"/>
      <c r="G64" s="3"/>
      <c r="H64" s="3"/>
      <c r="I64" s="3"/>
    </row>
    <row r="65" spans="1:9" ht="21" x14ac:dyDescent="0.35">
      <c r="A65" s="3"/>
      <c r="B65" s="3"/>
      <c r="C65" s="3"/>
      <c r="D65" s="3"/>
      <c r="E65" s="3"/>
      <c r="F65" s="3"/>
      <c r="G65" s="3"/>
      <c r="H65" s="3"/>
      <c r="I65" s="3"/>
    </row>
    <row r="66" spans="1:9" ht="21" x14ac:dyDescent="0.35">
      <c r="A66" s="3"/>
      <c r="B66" s="3"/>
      <c r="C66" s="3"/>
      <c r="D66" s="3"/>
      <c r="E66" s="3"/>
      <c r="F66" s="3"/>
      <c r="G66" s="3"/>
      <c r="H66" s="3"/>
      <c r="I66" s="3"/>
    </row>
    <row r="67" spans="1:9" ht="21" x14ac:dyDescent="0.35">
      <c r="A67" s="3"/>
      <c r="B67" s="3"/>
      <c r="C67" s="3"/>
      <c r="D67" s="3"/>
      <c r="E67" s="3"/>
      <c r="F67" s="3"/>
      <c r="G67" s="3"/>
      <c r="H67" s="3"/>
      <c r="I67" s="3"/>
    </row>
    <row r="68" spans="1:9" ht="21" x14ac:dyDescent="0.35">
      <c r="A68" s="3"/>
      <c r="B68" s="3"/>
      <c r="C68" s="3"/>
      <c r="D68" s="3"/>
      <c r="E68" s="3"/>
      <c r="F68" s="3"/>
      <c r="G68" s="3"/>
      <c r="H68" s="3"/>
      <c r="I68" s="3"/>
    </row>
  </sheetData>
  <mergeCells count="10">
    <mergeCell ref="H4:J4"/>
    <mergeCell ref="A5:A6"/>
    <mergeCell ref="B5:B6"/>
    <mergeCell ref="C5:E5"/>
    <mergeCell ref="A1:I1"/>
    <mergeCell ref="A2:I2"/>
    <mergeCell ref="A3:I3"/>
    <mergeCell ref="F5:H5"/>
    <mergeCell ref="I5:I6"/>
    <mergeCell ref="J5:J6"/>
  </mergeCells>
  <pageMargins left="0.31496062992125984" right="0.19685039370078741" top="0.31496062992125984" bottom="0.31496062992125984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2"/>
  <sheetViews>
    <sheetView zoomScale="80" zoomScaleNormal="80" workbookViewId="0">
      <pane ySplit="8" topLeftCell="A200" activePane="bottomLeft" state="frozen"/>
      <selection pane="bottomLeft" activeCell="J205" sqref="J205"/>
    </sheetView>
  </sheetViews>
  <sheetFormatPr defaultColWidth="9" defaultRowHeight="17.25" x14ac:dyDescent="0.3"/>
  <cols>
    <col min="1" max="1" width="1.625" style="231" customWidth="1"/>
    <col min="2" max="3" width="1.75" style="231" customWidth="1"/>
    <col min="4" max="4" width="51.625" style="231" customWidth="1"/>
    <col min="5" max="5" width="12.375" style="240" customWidth="1"/>
    <col min="6" max="6" width="12.25" style="240" customWidth="1"/>
    <col min="7" max="7" width="12.5" style="240" customWidth="1"/>
    <col min="8" max="8" width="10.375" style="240" customWidth="1"/>
    <col min="9" max="10" width="12" style="240" customWidth="1"/>
    <col min="11" max="11" width="12.5" style="240" customWidth="1"/>
    <col min="12" max="12" width="12.375" style="240" customWidth="1"/>
    <col min="13" max="13" width="11.5" style="323" customWidth="1"/>
    <col min="14" max="14" width="12.375" style="240" customWidth="1"/>
    <col min="15" max="15" width="7.125" style="240" customWidth="1"/>
    <col min="16" max="16" width="14.375" style="291" customWidth="1"/>
    <col min="17" max="17" width="9" style="231"/>
    <col min="18" max="18" width="10.125" style="231" bestFit="1" customWidth="1"/>
    <col min="19" max="16384" width="9" style="231"/>
  </cols>
  <sheetData>
    <row r="1" spans="1:21" ht="21" x14ac:dyDescent="0.35">
      <c r="A1" s="594" t="s">
        <v>450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</row>
    <row r="2" spans="1:21" ht="21" x14ac:dyDescent="0.35">
      <c r="A2" s="594" t="s">
        <v>451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</row>
    <row r="3" spans="1:21" ht="21" x14ac:dyDescent="0.35">
      <c r="A3" s="595"/>
      <c r="B3" s="595"/>
      <c r="C3" s="595"/>
      <c r="D3" s="595"/>
      <c r="E3" s="596" t="s">
        <v>778</v>
      </c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</row>
    <row r="4" spans="1:21" ht="21" customHeight="1" x14ac:dyDescent="0.3">
      <c r="A4" s="597" t="s">
        <v>79</v>
      </c>
      <c r="B4" s="598"/>
      <c r="C4" s="598"/>
      <c r="D4" s="599"/>
      <c r="E4" s="545" t="s">
        <v>195</v>
      </c>
      <c r="F4" s="546"/>
      <c r="G4" s="547"/>
      <c r="H4" s="545" t="s">
        <v>192</v>
      </c>
      <c r="I4" s="546"/>
      <c r="J4" s="546"/>
      <c r="K4" s="546"/>
      <c r="L4" s="547"/>
      <c r="M4" s="545" t="s">
        <v>423</v>
      </c>
      <c r="N4" s="546"/>
      <c r="O4" s="547"/>
      <c r="P4" s="606" t="s">
        <v>452</v>
      </c>
    </row>
    <row r="5" spans="1:21" s="233" customFormat="1" ht="21" customHeight="1" x14ac:dyDescent="0.2">
      <c r="A5" s="600"/>
      <c r="B5" s="601"/>
      <c r="C5" s="601"/>
      <c r="D5" s="602"/>
      <c r="E5" s="548"/>
      <c r="F5" s="549"/>
      <c r="G5" s="550"/>
      <c r="H5" s="548"/>
      <c r="I5" s="549"/>
      <c r="J5" s="549"/>
      <c r="K5" s="549"/>
      <c r="L5" s="550"/>
      <c r="M5" s="548"/>
      <c r="N5" s="549"/>
      <c r="O5" s="550"/>
      <c r="P5" s="607"/>
    </row>
    <row r="6" spans="1:21" s="233" customFormat="1" ht="42" x14ac:dyDescent="0.2">
      <c r="A6" s="603"/>
      <c r="B6" s="604"/>
      <c r="C6" s="604"/>
      <c r="D6" s="605"/>
      <c r="E6" s="232" t="s">
        <v>114</v>
      </c>
      <c r="F6" s="232" t="s">
        <v>83</v>
      </c>
      <c r="G6" s="232" t="s">
        <v>82</v>
      </c>
      <c r="H6" s="232" t="s">
        <v>196</v>
      </c>
      <c r="I6" s="232" t="s">
        <v>73</v>
      </c>
      <c r="J6" s="228" t="s">
        <v>194</v>
      </c>
      <c r="K6" s="232" t="s">
        <v>191</v>
      </c>
      <c r="L6" s="232" t="s">
        <v>302</v>
      </c>
      <c r="M6" s="318" t="s">
        <v>563</v>
      </c>
      <c r="N6" s="232" t="s">
        <v>75</v>
      </c>
      <c r="O6" s="232" t="s">
        <v>76</v>
      </c>
      <c r="P6" s="608"/>
    </row>
    <row r="7" spans="1:21" ht="27" customHeight="1" x14ac:dyDescent="0.35">
      <c r="A7" s="576" t="s">
        <v>453</v>
      </c>
      <c r="B7" s="577"/>
      <c r="C7" s="577"/>
      <c r="D7" s="578"/>
      <c r="E7" s="234">
        <f>E8+E145</f>
        <v>933802100</v>
      </c>
      <c r="F7" s="234">
        <f>F8+F145</f>
        <v>196769400</v>
      </c>
      <c r="G7" s="234">
        <f>G8+G145</f>
        <v>737032700</v>
      </c>
      <c r="H7" s="234"/>
      <c r="I7" s="234"/>
      <c r="J7" s="234"/>
      <c r="K7" s="234">
        <f>K8+K145</f>
        <v>340955586</v>
      </c>
      <c r="L7" s="234">
        <f>L8+L145</f>
        <v>367369614</v>
      </c>
      <c r="M7" s="234">
        <f>M8+M145</f>
        <v>10482640</v>
      </c>
      <c r="N7" s="234">
        <f>E7-M7</f>
        <v>923319460</v>
      </c>
      <c r="O7" s="332">
        <f>M7*100/E7</f>
        <v>1.1225761861105259</v>
      </c>
      <c r="P7" s="235"/>
    </row>
    <row r="8" spans="1:21" ht="45" customHeight="1" x14ac:dyDescent="0.35">
      <c r="A8" s="579" t="s">
        <v>454</v>
      </c>
      <c r="B8" s="580"/>
      <c r="C8" s="580"/>
      <c r="D8" s="581"/>
      <c r="E8" s="236">
        <f>E9+E31+E69+E74+E82+E89+E132</f>
        <v>551400500</v>
      </c>
      <c r="F8" s="236">
        <f>F9+F31+F69+F74+F82+F89+F132</f>
        <v>149269400</v>
      </c>
      <c r="G8" s="236">
        <f>G9+G31+G69+G74+G82+G89+G132</f>
        <v>402131100</v>
      </c>
      <c r="H8" s="236"/>
      <c r="I8" s="236"/>
      <c r="J8" s="236"/>
      <c r="K8" s="236">
        <f>K9+K31+K69+K74+K82+K89+K132</f>
        <v>221417086</v>
      </c>
      <c r="L8" s="236">
        <f>L9+L31+L69+L74+L82+L89+L132</f>
        <v>152006514</v>
      </c>
      <c r="M8" s="236">
        <f>M9+M31+M69+M74+M82+M89+M132</f>
        <v>2864640</v>
      </c>
      <c r="N8" s="345">
        <f>E8-M8</f>
        <v>548535860</v>
      </c>
      <c r="O8" s="341">
        <f>M8*100/E8</f>
        <v>0.51952074762355127</v>
      </c>
      <c r="P8" s="237"/>
    </row>
    <row r="9" spans="1:21" ht="23.25" customHeight="1" x14ac:dyDescent="0.3">
      <c r="A9" s="582" t="s">
        <v>455</v>
      </c>
      <c r="B9" s="582"/>
      <c r="C9" s="582"/>
      <c r="D9" s="582"/>
      <c r="E9" s="238">
        <f>E10</f>
        <v>230333000</v>
      </c>
      <c r="F9" s="238">
        <v>0</v>
      </c>
      <c r="G9" s="238">
        <f>G10</f>
        <v>230333000</v>
      </c>
      <c r="H9" s="238"/>
      <c r="I9" s="238"/>
      <c r="J9" s="238"/>
      <c r="K9" s="238">
        <f>K10</f>
        <v>140709805</v>
      </c>
      <c r="L9" s="238">
        <f>L10</f>
        <v>89623195</v>
      </c>
      <c r="M9" s="238">
        <f>M10</f>
        <v>0</v>
      </c>
      <c r="N9" s="238">
        <f>E9-M9</f>
        <v>230333000</v>
      </c>
      <c r="O9" s="238">
        <f>M9*100/E9</f>
        <v>0</v>
      </c>
      <c r="P9" s="239"/>
    </row>
    <row r="10" spans="1:21" ht="42" customHeight="1" x14ac:dyDescent="0.35">
      <c r="A10" s="241"/>
      <c r="B10" s="560" t="s">
        <v>456</v>
      </c>
      <c r="C10" s="560"/>
      <c r="D10" s="561"/>
      <c r="E10" s="242">
        <f>E11+E26</f>
        <v>230333000</v>
      </c>
      <c r="F10" s="243"/>
      <c r="G10" s="243">
        <f>G11+G26</f>
        <v>230333000</v>
      </c>
      <c r="H10" s="243"/>
      <c r="I10" s="243"/>
      <c r="J10" s="243"/>
      <c r="K10" s="243">
        <f>K11+K26</f>
        <v>140709805</v>
      </c>
      <c r="L10" s="243">
        <f>L11+L26</f>
        <v>89623195</v>
      </c>
      <c r="M10" s="243">
        <f>M11+M26</f>
        <v>0</v>
      </c>
      <c r="N10" s="243">
        <f>G10-M10</f>
        <v>230333000</v>
      </c>
      <c r="O10" s="243">
        <f>-M10*100/E10</f>
        <v>0</v>
      </c>
      <c r="P10" s="244"/>
      <c r="R10" s="465">
        <f>M11+M26+M39+M53+M67+M78+M94+M99+M132+M149+M154+M177+M197+M201</f>
        <v>8769000</v>
      </c>
      <c r="S10" s="261" t="s">
        <v>83</v>
      </c>
    </row>
    <row r="11" spans="1:21" s="357" customFormat="1" ht="21" x14ac:dyDescent="0.35">
      <c r="A11" s="355"/>
      <c r="B11" s="356"/>
      <c r="C11" s="583" t="s">
        <v>457</v>
      </c>
      <c r="D11" s="584"/>
      <c r="E11" s="353">
        <f>SUM(E12:E25)</f>
        <v>127936000</v>
      </c>
      <c r="F11" s="353"/>
      <c r="G11" s="353">
        <f>SUM(G12:G25)</f>
        <v>127936000</v>
      </c>
      <c r="H11" s="353"/>
      <c r="I11" s="353"/>
      <c r="J11" s="353"/>
      <c r="K11" s="353">
        <f>SUM(K12:K25)</f>
        <v>50708805</v>
      </c>
      <c r="L11" s="353">
        <f>SUM(L12:L25)</f>
        <v>77227195</v>
      </c>
      <c r="M11" s="353">
        <f>M12+M13+M14+M15+M16+M17+M18+M19+M20+M21+M22+M23+M24+M25</f>
        <v>0</v>
      </c>
      <c r="N11" s="353">
        <f>N12+N13+N14+N15+N16+N17+N18+N19+N20+N21+N22+N23+N24+N25</f>
        <v>127936000</v>
      </c>
      <c r="O11" s="353">
        <f>M11*100/E11</f>
        <v>0</v>
      </c>
      <c r="P11" s="354"/>
      <c r="R11" s="466"/>
      <c r="S11" s="363"/>
    </row>
    <row r="12" spans="1:21" ht="44.25" customHeight="1" x14ac:dyDescent="0.35">
      <c r="A12" s="245"/>
      <c r="B12" s="246"/>
      <c r="C12" s="246"/>
      <c r="D12" s="247" t="s">
        <v>596</v>
      </c>
      <c r="E12" s="248">
        <f>G12</f>
        <v>10000000</v>
      </c>
      <c r="F12" s="248"/>
      <c r="G12" s="248">
        <v>10000000</v>
      </c>
      <c r="H12" s="248"/>
      <c r="I12" s="248"/>
      <c r="J12" s="248"/>
      <c r="K12" s="248"/>
      <c r="L12" s="248">
        <f>G12-K12</f>
        <v>10000000</v>
      </c>
      <c r="M12" s="319">
        <v>0</v>
      </c>
      <c r="N12" s="248">
        <f t="shared" ref="N12:N25" si="0">G12-M12</f>
        <v>10000000</v>
      </c>
      <c r="O12" s="248">
        <f t="shared" ref="O12:O30" si="1">M12*100/G12</f>
        <v>0</v>
      </c>
      <c r="P12" s="292" t="s">
        <v>31</v>
      </c>
      <c r="R12" s="465">
        <f>M38+M52+M66+M70+M72+M77+M79+M80+M83+M86+M93+M98+M147+M174+M203+M206</f>
        <v>1713640</v>
      </c>
      <c r="S12" s="261" t="s">
        <v>779</v>
      </c>
      <c r="U12" s="240"/>
    </row>
    <row r="13" spans="1:21" ht="42" x14ac:dyDescent="0.35">
      <c r="A13" s="249"/>
      <c r="B13" s="250"/>
      <c r="C13" s="250"/>
      <c r="D13" s="251" t="s">
        <v>597</v>
      </c>
      <c r="E13" s="248">
        <f t="shared" ref="E13:E25" si="2">G13</f>
        <v>10000000</v>
      </c>
      <c r="F13" s="248"/>
      <c r="G13" s="248">
        <v>10000000</v>
      </c>
      <c r="H13" s="248"/>
      <c r="I13" s="248"/>
      <c r="J13" s="248"/>
      <c r="K13" s="248"/>
      <c r="L13" s="248">
        <f t="shared" ref="L13:L25" si="3">G13-K13</f>
        <v>10000000</v>
      </c>
      <c r="M13" s="319">
        <v>0</v>
      </c>
      <c r="N13" s="248">
        <f t="shared" si="0"/>
        <v>10000000</v>
      </c>
      <c r="O13" s="248">
        <f t="shared" si="1"/>
        <v>0</v>
      </c>
      <c r="P13" s="292" t="s">
        <v>31</v>
      </c>
    </row>
    <row r="14" spans="1:21" ht="45.75" customHeight="1" x14ac:dyDescent="0.35">
      <c r="A14" s="245"/>
      <c r="B14" s="246"/>
      <c r="C14" s="246"/>
      <c r="D14" s="247" t="s">
        <v>743</v>
      </c>
      <c r="E14" s="248">
        <f t="shared" si="2"/>
        <v>10000000</v>
      </c>
      <c r="F14" s="248"/>
      <c r="G14" s="248">
        <v>10000000</v>
      </c>
      <c r="H14" s="248"/>
      <c r="I14" s="248"/>
      <c r="J14" s="248"/>
      <c r="K14" s="248"/>
      <c r="L14" s="248">
        <f t="shared" si="3"/>
        <v>10000000</v>
      </c>
      <c r="M14" s="319">
        <v>0</v>
      </c>
      <c r="N14" s="248">
        <f t="shared" si="0"/>
        <v>10000000</v>
      </c>
      <c r="O14" s="248">
        <f t="shared" si="1"/>
        <v>0</v>
      </c>
      <c r="P14" s="292" t="s">
        <v>31</v>
      </c>
    </row>
    <row r="15" spans="1:21" ht="43.5" customHeight="1" x14ac:dyDescent="0.35">
      <c r="A15" s="245"/>
      <c r="B15" s="246"/>
      <c r="C15" s="246"/>
      <c r="D15" s="247" t="s">
        <v>744</v>
      </c>
      <c r="E15" s="248">
        <f t="shared" si="2"/>
        <v>10000000</v>
      </c>
      <c r="F15" s="248"/>
      <c r="G15" s="248">
        <v>10000000</v>
      </c>
      <c r="H15" s="248"/>
      <c r="I15" s="443" t="s">
        <v>750</v>
      </c>
      <c r="J15" s="348" t="s">
        <v>751</v>
      </c>
      <c r="K15" s="248">
        <v>9745000</v>
      </c>
      <c r="L15" s="248">
        <f t="shared" si="3"/>
        <v>255000</v>
      </c>
      <c r="M15" s="319">
        <v>0</v>
      </c>
      <c r="N15" s="248">
        <f t="shared" si="0"/>
        <v>10000000</v>
      </c>
      <c r="O15" s="248">
        <f t="shared" si="1"/>
        <v>0</v>
      </c>
      <c r="P15" s="292" t="s">
        <v>31</v>
      </c>
    </row>
    <row r="16" spans="1:21" ht="42" customHeight="1" x14ac:dyDescent="0.35">
      <c r="A16" s="245"/>
      <c r="B16" s="246"/>
      <c r="C16" s="246"/>
      <c r="D16" s="247" t="s">
        <v>745</v>
      </c>
      <c r="E16" s="248">
        <f t="shared" si="2"/>
        <v>10000000</v>
      </c>
      <c r="F16" s="248"/>
      <c r="G16" s="248">
        <v>10000000</v>
      </c>
      <c r="H16" s="248"/>
      <c r="I16" s="443" t="s">
        <v>750</v>
      </c>
      <c r="J16" s="348" t="s">
        <v>751</v>
      </c>
      <c r="K16" s="248">
        <v>9690000</v>
      </c>
      <c r="L16" s="248">
        <f t="shared" si="3"/>
        <v>310000</v>
      </c>
      <c r="M16" s="319">
        <v>0</v>
      </c>
      <c r="N16" s="248">
        <f t="shared" si="0"/>
        <v>10000000</v>
      </c>
      <c r="O16" s="248">
        <f t="shared" si="1"/>
        <v>0</v>
      </c>
      <c r="P16" s="292" t="s">
        <v>31</v>
      </c>
    </row>
    <row r="17" spans="1:16" ht="43.5" customHeight="1" x14ac:dyDescent="0.35">
      <c r="A17" s="249"/>
      <c r="B17" s="250"/>
      <c r="C17" s="250"/>
      <c r="D17" s="251" t="s">
        <v>746</v>
      </c>
      <c r="E17" s="248">
        <f t="shared" si="2"/>
        <v>10000000</v>
      </c>
      <c r="F17" s="248"/>
      <c r="G17" s="248">
        <v>10000000</v>
      </c>
      <c r="H17" s="248"/>
      <c r="I17" s="443" t="s">
        <v>750</v>
      </c>
      <c r="J17" s="348" t="s">
        <v>751</v>
      </c>
      <c r="K17" s="248">
        <v>9676000</v>
      </c>
      <c r="L17" s="248">
        <f t="shared" si="3"/>
        <v>324000</v>
      </c>
      <c r="M17" s="319">
        <v>0</v>
      </c>
      <c r="N17" s="248">
        <f t="shared" si="0"/>
        <v>10000000</v>
      </c>
      <c r="O17" s="248">
        <f t="shared" si="1"/>
        <v>0</v>
      </c>
      <c r="P17" s="292" t="s">
        <v>31</v>
      </c>
    </row>
    <row r="18" spans="1:16" ht="43.5" customHeight="1" x14ac:dyDescent="0.35">
      <c r="A18" s="245"/>
      <c r="B18" s="246"/>
      <c r="C18" s="246"/>
      <c r="D18" s="247" t="s">
        <v>747</v>
      </c>
      <c r="E18" s="248">
        <f t="shared" si="2"/>
        <v>10000000</v>
      </c>
      <c r="F18" s="248"/>
      <c r="G18" s="248">
        <v>10000000</v>
      </c>
      <c r="H18" s="248"/>
      <c r="I18" s="248"/>
      <c r="J18" s="347"/>
      <c r="K18" s="248"/>
      <c r="L18" s="248">
        <f t="shared" si="3"/>
        <v>10000000</v>
      </c>
      <c r="M18" s="319">
        <v>0</v>
      </c>
      <c r="N18" s="248">
        <f t="shared" si="0"/>
        <v>10000000</v>
      </c>
      <c r="O18" s="248">
        <f t="shared" si="1"/>
        <v>0</v>
      </c>
      <c r="P18" s="292" t="s">
        <v>31</v>
      </c>
    </row>
    <row r="19" spans="1:16" s="254" customFormat="1" ht="42.75" customHeight="1" x14ac:dyDescent="0.35">
      <c r="A19" s="252"/>
      <c r="B19" s="253"/>
      <c r="C19" s="253"/>
      <c r="D19" s="251" t="s">
        <v>748</v>
      </c>
      <c r="E19" s="248">
        <f t="shared" si="2"/>
        <v>35000000</v>
      </c>
      <c r="F19" s="248"/>
      <c r="G19" s="248">
        <v>35000000</v>
      </c>
      <c r="H19" s="248"/>
      <c r="I19" s="248"/>
      <c r="J19" s="248"/>
      <c r="K19" s="248"/>
      <c r="L19" s="248">
        <f t="shared" si="3"/>
        <v>35000000</v>
      </c>
      <c r="M19" s="319">
        <v>0</v>
      </c>
      <c r="N19" s="248">
        <f t="shared" si="0"/>
        <v>35000000</v>
      </c>
      <c r="O19" s="248">
        <f t="shared" si="1"/>
        <v>0</v>
      </c>
      <c r="P19" s="292" t="s">
        <v>31</v>
      </c>
    </row>
    <row r="20" spans="1:16" s="254" customFormat="1" ht="42" x14ac:dyDescent="0.35">
      <c r="A20" s="255"/>
      <c r="B20" s="256"/>
      <c r="C20" s="256"/>
      <c r="D20" s="247" t="s">
        <v>458</v>
      </c>
      <c r="E20" s="248">
        <f t="shared" si="2"/>
        <v>5000000</v>
      </c>
      <c r="F20" s="248"/>
      <c r="G20" s="248">
        <v>5000000</v>
      </c>
      <c r="H20" s="248"/>
      <c r="I20" s="443" t="s">
        <v>763</v>
      </c>
      <c r="J20" s="348" t="s">
        <v>694</v>
      </c>
      <c r="K20" s="248">
        <v>4982000</v>
      </c>
      <c r="L20" s="248">
        <f t="shared" si="3"/>
        <v>18000</v>
      </c>
      <c r="M20" s="319">
        <v>0</v>
      </c>
      <c r="N20" s="248">
        <f t="shared" si="0"/>
        <v>5000000</v>
      </c>
      <c r="O20" s="248">
        <f t="shared" si="1"/>
        <v>0</v>
      </c>
      <c r="P20" s="292" t="s">
        <v>31</v>
      </c>
    </row>
    <row r="21" spans="1:16" s="254" customFormat="1" ht="42" customHeight="1" x14ac:dyDescent="0.35">
      <c r="A21" s="252"/>
      <c r="B21" s="253"/>
      <c r="C21" s="253"/>
      <c r="D21" s="251" t="s">
        <v>459</v>
      </c>
      <c r="E21" s="248">
        <f t="shared" si="2"/>
        <v>4000000</v>
      </c>
      <c r="F21" s="248"/>
      <c r="G21" s="248">
        <v>4000000</v>
      </c>
      <c r="H21" s="248"/>
      <c r="I21" s="443" t="s">
        <v>763</v>
      </c>
      <c r="J21" s="348" t="s">
        <v>694</v>
      </c>
      <c r="K21" s="248">
        <v>3980000</v>
      </c>
      <c r="L21" s="248">
        <f t="shared" si="3"/>
        <v>20000</v>
      </c>
      <c r="M21" s="319">
        <v>0</v>
      </c>
      <c r="N21" s="248">
        <f t="shared" si="0"/>
        <v>4000000</v>
      </c>
      <c r="O21" s="248">
        <f t="shared" si="1"/>
        <v>0</v>
      </c>
      <c r="P21" s="292" t="s">
        <v>31</v>
      </c>
    </row>
    <row r="22" spans="1:16" s="254" customFormat="1" ht="42" x14ac:dyDescent="0.35">
      <c r="A22" s="255"/>
      <c r="B22" s="256"/>
      <c r="C22" s="256"/>
      <c r="D22" s="247" t="s">
        <v>460</v>
      </c>
      <c r="E22" s="248">
        <f t="shared" si="2"/>
        <v>6000000</v>
      </c>
      <c r="F22" s="248"/>
      <c r="G22" s="248">
        <v>6000000</v>
      </c>
      <c r="H22" s="248"/>
      <c r="I22" s="443" t="s">
        <v>763</v>
      </c>
      <c r="J22" s="348" t="s">
        <v>752</v>
      </c>
      <c r="K22" s="248">
        <v>5937000</v>
      </c>
      <c r="L22" s="248">
        <f t="shared" si="3"/>
        <v>63000</v>
      </c>
      <c r="M22" s="319">
        <v>0</v>
      </c>
      <c r="N22" s="248">
        <f t="shared" si="0"/>
        <v>6000000</v>
      </c>
      <c r="O22" s="248">
        <f t="shared" si="1"/>
        <v>0</v>
      </c>
      <c r="P22" s="292" t="s">
        <v>31</v>
      </c>
    </row>
    <row r="23" spans="1:16" s="254" customFormat="1" ht="45" customHeight="1" x14ac:dyDescent="0.35">
      <c r="A23" s="255"/>
      <c r="B23" s="256"/>
      <c r="C23" s="256"/>
      <c r="D23" s="247" t="s">
        <v>749</v>
      </c>
      <c r="E23" s="248">
        <f t="shared" si="2"/>
        <v>5000000</v>
      </c>
      <c r="F23" s="248"/>
      <c r="G23" s="248">
        <v>5000000</v>
      </c>
      <c r="H23" s="248"/>
      <c r="I23" s="443" t="s">
        <v>763</v>
      </c>
      <c r="J23" s="348" t="s">
        <v>694</v>
      </c>
      <c r="K23" s="248">
        <v>4944000</v>
      </c>
      <c r="L23" s="248">
        <f t="shared" si="3"/>
        <v>56000</v>
      </c>
      <c r="M23" s="319">
        <v>0</v>
      </c>
      <c r="N23" s="248">
        <f t="shared" si="0"/>
        <v>5000000</v>
      </c>
      <c r="O23" s="248">
        <f t="shared" si="1"/>
        <v>0</v>
      </c>
      <c r="P23" s="292" t="s">
        <v>31</v>
      </c>
    </row>
    <row r="24" spans="1:16" s="254" customFormat="1" ht="37.5" x14ac:dyDescent="0.35">
      <c r="A24" s="255"/>
      <c r="B24" s="256"/>
      <c r="C24" s="256"/>
      <c r="D24" s="257" t="s">
        <v>461</v>
      </c>
      <c r="E24" s="248">
        <f t="shared" si="2"/>
        <v>1355000</v>
      </c>
      <c r="F24" s="258"/>
      <c r="G24" s="258">
        <v>1355000</v>
      </c>
      <c r="H24" s="258"/>
      <c r="I24" s="441" t="s">
        <v>762</v>
      </c>
      <c r="J24" s="348" t="s">
        <v>694</v>
      </c>
      <c r="K24" s="258">
        <v>814935</v>
      </c>
      <c r="L24" s="248">
        <f t="shared" si="3"/>
        <v>540065</v>
      </c>
      <c r="M24" s="320">
        <v>0</v>
      </c>
      <c r="N24" s="248">
        <f t="shared" si="0"/>
        <v>1355000</v>
      </c>
      <c r="O24" s="248">
        <f t="shared" si="1"/>
        <v>0</v>
      </c>
      <c r="P24" s="292" t="s">
        <v>31</v>
      </c>
    </row>
    <row r="25" spans="1:16" s="254" customFormat="1" ht="37.5" x14ac:dyDescent="0.35">
      <c r="A25" s="252"/>
      <c r="B25" s="253"/>
      <c r="C25" s="253"/>
      <c r="D25" s="259" t="s">
        <v>462</v>
      </c>
      <c r="E25" s="248">
        <f t="shared" si="2"/>
        <v>1581000</v>
      </c>
      <c r="F25" s="258"/>
      <c r="G25" s="258">
        <v>1581000</v>
      </c>
      <c r="H25" s="258"/>
      <c r="I25" s="441" t="s">
        <v>762</v>
      </c>
      <c r="J25" s="348" t="s">
        <v>694</v>
      </c>
      <c r="K25" s="258">
        <v>939870</v>
      </c>
      <c r="L25" s="248">
        <f t="shared" si="3"/>
        <v>641130</v>
      </c>
      <c r="M25" s="320">
        <v>0</v>
      </c>
      <c r="N25" s="248">
        <f t="shared" si="0"/>
        <v>1581000</v>
      </c>
      <c r="O25" s="248">
        <f t="shared" si="1"/>
        <v>0</v>
      </c>
      <c r="P25" s="292" t="s">
        <v>31</v>
      </c>
    </row>
    <row r="26" spans="1:16" s="363" customFormat="1" ht="21" x14ac:dyDescent="0.35">
      <c r="A26" s="358"/>
      <c r="B26" s="359"/>
      <c r="C26" s="585" t="s">
        <v>463</v>
      </c>
      <c r="D26" s="583"/>
      <c r="E26" s="360">
        <f>SUM(E27:E30)</f>
        <v>102397000</v>
      </c>
      <c r="F26" s="360"/>
      <c r="G26" s="360">
        <f>SUM(G27:G30)</f>
        <v>102397000</v>
      </c>
      <c r="H26" s="360"/>
      <c r="I26" s="360"/>
      <c r="J26" s="361"/>
      <c r="K26" s="360">
        <f>SUM(K27:K30)</f>
        <v>90001000</v>
      </c>
      <c r="L26" s="360">
        <f>SUM(L27:L30)</f>
        <v>12396000</v>
      </c>
      <c r="M26" s="360">
        <f>SUM(M27:M30)</f>
        <v>0</v>
      </c>
      <c r="N26" s="360">
        <f>SUM(N27:N30)</f>
        <v>102397000</v>
      </c>
      <c r="O26" s="360">
        <f t="shared" si="1"/>
        <v>0</v>
      </c>
      <c r="P26" s="362"/>
    </row>
    <row r="27" spans="1:16" ht="66.75" customHeight="1" x14ac:dyDescent="0.35">
      <c r="A27" s="249"/>
      <c r="B27" s="250"/>
      <c r="C27" s="250"/>
      <c r="D27" s="251" t="s">
        <v>565</v>
      </c>
      <c r="E27" s="258">
        <f>G27</f>
        <v>49647000</v>
      </c>
      <c r="F27" s="258"/>
      <c r="G27" s="258">
        <v>49647000</v>
      </c>
      <c r="H27" s="258"/>
      <c r="I27" s="441" t="s">
        <v>280</v>
      </c>
      <c r="J27" s="348" t="s">
        <v>695</v>
      </c>
      <c r="K27" s="258">
        <v>47840000</v>
      </c>
      <c r="L27" s="258">
        <f>G27-K27</f>
        <v>1807000</v>
      </c>
      <c r="M27" s="320">
        <v>0</v>
      </c>
      <c r="N27" s="258">
        <f>G27-M27</f>
        <v>49647000</v>
      </c>
      <c r="O27" s="260">
        <f t="shared" si="1"/>
        <v>0</v>
      </c>
      <c r="P27" s="292" t="s">
        <v>464</v>
      </c>
    </row>
    <row r="28" spans="1:16" ht="63" x14ac:dyDescent="0.35">
      <c r="A28" s="245"/>
      <c r="B28" s="246"/>
      <c r="C28" s="246"/>
      <c r="D28" s="247" t="s">
        <v>598</v>
      </c>
      <c r="E28" s="258">
        <f t="shared" ref="E28:E30" si="4">G28</f>
        <v>42161000</v>
      </c>
      <c r="F28" s="258"/>
      <c r="G28" s="258">
        <v>42161000</v>
      </c>
      <c r="H28" s="258"/>
      <c r="I28" s="441" t="s">
        <v>772</v>
      </c>
      <c r="J28" s="348" t="s">
        <v>695</v>
      </c>
      <c r="K28" s="258">
        <v>42161000</v>
      </c>
      <c r="L28" s="258">
        <f t="shared" ref="L28:L30" si="5">G28-K28</f>
        <v>0</v>
      </c>
      <c r="M28" s="320">
        <v>0</v>
      </c>
      <c r="N28" s="258">
        <f>G28-M28</f>
        <v>42161000</v>
      </c>
      <c r="O28" s="260">
        <f t="shared" si="1"/>
        <v>0</v>
      </c>
      <c r="P28" s="292" t="s">
        <v>464</v>
      </c>
    </row>
    <row r="29" spans="1:16" ht="42" x14ac:dyDescent="0.35">
      <c r="A29" s="249"/>
      <c r="B29" s="250"/>
      <c r="C29" s="250"/>
      <c r="D29" s="251" t="s">
        <v>566</v>
      </c>
      <c r="E29" s="258">
        <f t="shared" si="4"/>
        <v>4440000</v>
      </c>
      <c r="F29" s="262"/>
      <c r="G29" s="262">
        <v>4440000</v>
      </c>
      <c r="H29" s="262"/>
      <c r="I29" s="262"/>
      <c r="J29" s="349"/>
      <c r="K29" s="262"/>
      <c r="L29" s="258">
        <f t="shared" si="5"/>
        <v>4440000</v>
      </c>
      <c r="M29" s="320">
        <v>0</v>
      </c>
      <c r="N29" s="258">
        <f>G29-M29</f>
        <v>4440000</v>
      </c>
      <c r="O29" s="260">
        <f t="shared" si="1"/>
        <v>0</v>
      </c>
      <c r="P29" s="292" t="s">
        <v>5</v>
      </c>
    </row>
    <row r="30" spans="1:16" ht="41.25" customHeight="1" x14ac:dyDescent="0.35">
      <c r="A30" s="245"/>
      <c r="B30" s="246"/>
      <c r="C30" s="246"/>
      <c r="D30" s="247" t="s">
        <v>465</v>
      </c>
      <c r="E30" s="258">
        <f t="shared" si="4"/>
        <v>6149000</v>
      </c>
      <c r="F30" s="262"/>
      <c r="G30" s="262">
        <v>6149000</v>
      </c>
      <c r="H30" s="262"/>
      <c r="I30" s="262"/>
      <c r="J30" s="262"/>
      <c r="K30" s="262"/>
      <c r="L30" s="258">
        <f t="shared" si="5"/>
        <v>6149000</v>
      </c>
      <c r="M30" s="320">
        <v>0</v>
      </c>
      <c r="N30" s="258">
        <f>G30-M30</f>
        <v>6149000</v>
      </c>
      <c r="O30" s="260">
        <f t="shared" si="1"/>
        <v>0</v>
      </c>
      <c r="P30" s="292" t="s">
        <v>5</v>
      </c>
    </row>
    <row r="31" spans="1:16" ht="21" hidden="1" x14ac:dyDescent="0.3">
      <c r="A31" s="586" t="s">
        <v>466</v>
      </c>
      <c r="B31" s="586"/>
      <c r="C31" s="586"/>
      <c r="D31" s="586"/>
      <c r="E31" s="266">
        <f>E33</f>
        <v>150779600</v>
      </c>
      <c r="F31" s="266">
        <f>F33</f>
        <v>122072100</v>
      </c>
      <c r="G31" s="266">
        <f>G33</f>
        <v>28707500</v>
      </c>
      <c r="H31" s="266"/>
      <c r="I31" s="266"/>
      <c r="J31" s="266"/>
      <c r="K31" s="266"/>
      <c r="L31" s="266"/>
      <c r="M31" s="266">
        <f>M33</f>
        <v>2518540</v>
      </c>
      <c r="N31" s="266">
        <f>N33</f>
        <v>148261060</v>
      </c>
      <c r="O31" s="329">
        <f>M31*100/E31</f>
        <v>1.6703453252296729</v>
      </c>
      <c r="P31" s="294"/>
    </row>
    <row r="32" spans="1:16" ht="21" x14ac:dyDescent="0.3">
      <c r="A32" s="593" t="s">
        <v>466</v>
      </c>
      <c r="B32" s="593"/>
      <c r="C32" s="593"/>
      <c r="D32" s="593"/>
      <c r="E32" s="266">
        <f>F32+G32</f>
        <v>119135900</v>
      </c>
      <c r="F32" s="266">
        <f>F34</f>
        <v>90428400</v>
      </c>
      <c r="G32" s="266">
        <f>G34</f>
        <v>28707500</v>
      </c>
      <c r="H32" s="266"/>
      <c r="I32" s="266"/>
      <c r="J32" s="266"/>
      <c r="K32" s="266">
        <f>K34</f>
        <v>2037000</v>
      </c>
      <c r="L32" s="266">
        <f>L34</f>
        <v>26670500</v>
      </c>
      <c r="M32" s="266">
        <f>M34</f>
        <v>1205040</v>
      </c>
      <c r="N32" s="266">
        <f>N34</f>
        <v>117930860</v>
      </c>
      <c r="O32" s="329">
        <f>M32*100/E32</f>
        <v>1.0114835242777367</v>
      </c>
      <c r="P32" s="294"/>
    </row>
    <row r="33" spans="1:16" s="261" customFormat="1" ht="21" hidden="1" x14ac:dyDescent="0.35">
      <c r="A33" s="267"/>
      <c r="B33" s="587" t="s">
        <v>467</v>
      </c>
      <c r="C33" s="587"/>
      <c r="D33" s="588"/>
      <c r="E33" s="242">
        <f>F33+G33</f>
        <v>150779600</v>
      </c>
      <c r="F33" s="242">
        <f>F35+F51+F65</f>
        <v>122072100</v>
      </c>
      <c r="G33" s="242">
        <f>G35+G51+G65</f>
        <v>28707500</v>
      </c>
      <c r="H33" s="242"/>
      <c r="I33" s="242"/>
      <c r="J33" s="242"/>
      <c r="K33" s="242"/>
      <c r="L33" s="242"/>
      <c r="M33" s="242">
        <f>M37+M51+M65</f>
        <v>2518540</v>
      </c>
      <c r="N33" s="242">
        <f>N35+N51+N65</f>
        <v>148261060</v>
      </c>
      <c r="O33" s="329">
        <f>M33*100/E33</f>
        <v>1.6703453252296729</v>
      </c>
      <c r="P33" s="296"/>
    </row>
    <row r="34" spans="1:16" s="261" customFormat="1" ht="21" x14ac:dyDescent="0.35">
      <c r="A34" s="267"/>
      <c r="B34" s="529" t="s">
        <v>467</v>
      </c>
      <c r="C34" s="529"/>
      <c r="D34" s="530"/>
      <c r="E34" s="242">
        <f>E37+E51+E65</f>
        <v>119135900</v>
      </c>
      <c r="F34" s="242">
        <f t="shared" ref="F34:G34" si="6">F37+F51+F65</f>
        <v>90428400</v>
      </c>
      <c r="G34" s="242">
        <f t="shared" si="6"/>
        <v>28707500</v>
      </c>
      <c r="H34" s="242"/>
      <c r="I34" s="242"/>
      <c r="J34" s="242"/>
      <c r="K34" s="242">
        <f t="shared" ref="K34:L34" si="7">K37+K51+K65</f>
        <v>2037000</v>
      </c>
      <c r="L34" s="242">
        <f t="shared" si="7"/>
        <v>26670500</v>
      </c>
      <c r="M34" s="242">
        <f>M37</f>
        <v>1205040</v>
      </c>
      <c r="N34" s="242">
        <f>E34-M34</f>
        <v>117930860</v>
      </c>
      <c r="O34" s="329">
        <f>M34*100/E34</f>
        <v>1.0114835242777367</v>
      </c>
      <c r="P34" s="296"/>
    </row>
    <row r="35" spans="1:16" ht="37.5" hidden="1" x14ac:dyDescent="0.35">
      <c r="A35" s="269"/>
      <c r="B35" s="270"/>
      <c r="C35" s="589" t="s">
        <v>468</v>
      </c>
      <c r="D35" s="590"/>
      <c r="E35" s="258">
        <f>F35+G35</f>
        <v>139585700</v>
      </c>
      <c r="F35" s="258">
        <f>F36+F37</f>
        <v>115699700</v>
      </c>
      <c r="G35" s="258">
        <f>G37</f>
        <v>23886000</v>
      </c>
      <c r="H35" s="258"/>
      <c r="I35" s="258"/>
      <c r="J35" s="258"/>
      <c r="K35" s="258"/>
      <c r="L35" s="258"/>
      <c r="M35" s="320">
        <f>M38+M39</f>
        <v>1205040</v>
      </c>
      <c r="N35" s="320">
        <f>E35-M35</f>
        <v>138380660</v>
      </c>
      <c r="O35" s="334">
        <f>M35*100/E35</f>
        <v>0.86329760140186285</v>
      </c>
      <c r="P35" s="292" t="s">
        <v>469</v>
      </c>
    </row>
    <row r="36" spans="1:16" ht="21" hidden="1" x14ac:dyDescent="0.35">
      <c r="A36" s="269"/>
      <c r="B36" s="270"/>
      <c r="C36" s="330"/>
      <c r="D36" s="331"/>
      <c r="E36" s="258"/>
      <c r="F36" s="258">
        <v>31643700</v>
      </c>
      <c r="G36" s="258">
        <v>0</v>
      </c>
      <c r="H36" s="258"/>
      <c r="I36" s="258"/>
      <c r="J36" s="258"/>
      <c r="K36" s="258"/>
      <c r="L36" s="258"/>
      <c r="M36" s="320"/>
      <c r="N36" s="320"/>
      <c r="O36" s="334"/>
      <c r="P36" s="292"/>
    </row>
    <row r="37" spans="1:16" s="357" customFormat="1" ht="37.5" x14ac:dyDescent="0.35">
      <c r="A37" s="368"/>
      <c r="B37" s="369"/>
      <c r="C37" s="370"/>
      <c r="D37" s="371" t="s">
        <v>693</v>
      </c>
      <c r="E37" s="372">
        <f>F37+G37</f>
        <v>107942000</v>
      </c>
      <c r="F37" s="372">
        <f>F38</f>
        <v>84056000</v>
      </c>
      <c r="G37" s="372">
        <f>G39</f>
        <v>23886000</v>
      </c>
      <c r="H37" s="372"/>
      <c r="I37" s="372"/>
      <c r="J37" s="372"/>
      <c r="K37" s="372">
        <f>K39</f>
        <v>482500</v>
      </c>
      <c r="L37" s="372">
        <f>L39</f>
        <v>23403500</v>
      </c>
      <c r="M37" s="372">
        <f>M38</f>
        <v>1205040</v>
      </c>
      <c r="N37" s="372">
        <f>E37-M37</f>
        <v>106736960</v>
      </c>
      <c r="O37" s="373">
        <f>M37*100/E37</f>
        <v>1.1163773137425654</v>
      </c>
      <c r="P37" s="367" t="s">
        <v>469</v>
      </c>
    </row>
    <row r="38" spans="1:16" ht="21" x14ac:dyDescent="0.35">
      <c r="A38" s="263"/>
      <c r="B38" s="264"/>
      <c r="C38" s="324"/>
      <c r="D38" s="325" t="s">
        <v>83</v>
      </c>
      <c r="E38" s="265"/>
      <c r="F38" s="265">
        <v>84056000</v>
      </c>
      <c r="G38" s="265"/>
      <c r="H38" s="265"/>
      <c r="I38" s="265"/>
      <c r="J38" s="265"/>
      <c r="K38" s="265"/>
      <c r="L38" s="265">
        <v>0</v>
      </c>
      <c r="M38" s="321">
        <f>193600+196400+407520+407520</f>
        <v>1205040</v>
      </c>
      <c r="N38" s="265">
        <f>F38-M38</f>
        <v>82850960</v>
      </c>
      <c r="O38" s="333">
        <f>M38*100/F38</f>
        <v>1.4336156847815742</v>
      </c>
      <c r="P38" s="293"/>
    </row>
    <row r="39" spans="1:16" ht="21" x14ac:dyDescent="0.35">
      <c r="A39" s="263"/>
      <c r="B39" s="264"/>
      <c r="C39" s="324"/>
      <c r="D39" s="325" t="s">
        <v>82</v>
      </c>
      <c r="E39" s="265"/>
      <c r="F39" s="265"/>
      <c r="G39" s="265">
        <f>G40+G41+G42+G43+G44+G45+G46+G47+G48+G49+G50</f>
        <v>23886000</v>
      </c>
      <c r="H39" s="265"/>
      <c r="I39" s="265"/>
      <c r="J39" s="265"/>
      <c r="K39" s="265">
        <f>K40+K41+K42+K43+K44+K45+K46+K47+K48+K49+K50</f>
        <v>482500</v>
      </c>
      <c r="L39" s="265">
        <f>L40+L41+L42+L43+L44+L45+L46+L47+L48+L49+L50</f>
        <v>23403500</v>
      </c>
      <c r="M39" s="321">
        <f>M40+M41+M42+M43+M44+M45+M46+M47+M49+M48+M50</f>
        <v>0</v>
      </c>
      <c r="N39" s="265">
        <f t="shared" ref="N39:N50" si="8">G39-M39</f>
        <v>23886000</v>
      </c>
      <c r="O39" s="265">
        <f t="shared" ref="O39:O50" si="9">M39*100/G39</f>
        <v>0</v>
      </c>
      <c r="P39" s="293"/>
    </row>
    <row r="40" spans="1:16" ht="42" x14ac:dyDescent="0.35">
      <c r="A40" s="269"/>
      <c r="B40" s="270"/>
      <c r="C40" s="330"/>
      <c r="D40" s="331" t="s">
        <v>642</v>
      </c>
      <c r="E40" s="258"/>
      <c r="F40" s="258"/>
      <c r="G40" s="258">
        <v>1125000</v>
      </c>
      <c r="H40" s="258"/>
      <c r="I40" s="258"/>
      <c r="J40" s="258"/>
      <c r="K40" s="258"/>
      <c r="L40" s="258">
        <f>G40-K40</f>
        <v>1125000</v>
      </c>
      <c r="M40" s="320">
        <v>0</v>
      </c>
      <c r="N40" s="258">
        <f t="shared" si="8"/>
        <v>1125000</v>
      </c>
      <c r="O40" s="258">
        <f t="shared" si="9"/>
        <v>0</v>
      </c>
      <c r="P40" s="292"/>
    </row>
    <row r="41" spans="1:16" ht="42" x14ac:dyDescent="0.35">
      <c r="A41" s="269"/>
      <c r="B41" s="270"/>
      <c r="C41" s="330"/>
      <c r="D41" s="331" t="s">
        <v>643</v>
      </c>
      <c r="E41" s="258"/>
      <c r="F41" s="258"/>
      <c r="G41" s="258">
        <v>600000</v>
      </c>
      <c r="H41" s="258"/>
      <c r="I41" s="258"/>
      <c r="J41" s="258"/>
      <c r="K41" s="258"/>
      <c r="L41" s="258">
        <f t="shared" ref="L41:L50" si="10">G41-K41</f>
        <v>600000</v>
      </c>
      <c r="M41" s="320">
        <v>0</v>
      </c>
      <c r="N41" s="258">
        <f t="shared" si="8"/>
        <v>600000</v>
      </c>
      <c r="O41" s="258">
        <f t="shared" si="9"/>
        <v>0</v>
      </c>
      <c r="P41" s="292"/>
    </row>
    <row r="42" spans="1:16" ht="42" x14ac:dyDescent="0.35">
      <c r="A42" s="269"/>
      <c r="B42" s="270"/>
      <c r="C42" s="330"/>
      <c r="D42" s="331" t="s">
        <v>644</v>
      </c>
      <c r="E42" s="258"/>
      <c r="F42" s="258"/>
      <c r="G42" s="258">
        <v>500000</v>
      </c>
      <c r="H42" s="258"/>
      <c r="I42" s="258"/>
      <c r="J42" s="258"/>
      <c r="K42" s="258"/>
      <c r="L42" s="258">
        <f t="shared" si="10"/>
        <v>500000</v>
      </c>
      <c r="M42" s="320">
        <v>0</v>
      </c>
      <c r="N42" s="258">
        <f t="shared" si="8"/>
        <v>500000</v>
      </c>
      <c r="O42" s="258">
        <f t="shared" si="9"/>
        <v>0</v>
      </c>
      <c r="P42" s="292"/>
    </row>
    <row r="43" spans="1:16" ht="23.25" customHeight="1" x14ac:dyDescent="0.35">
      <c r="A43" s="269"/>
      <c r="B43" s="270"/>
      <c r="C43" s="330"/>
      <c r="D43" s="331" t="s">
        <v>645</v>
      </c>
      <c r="E43" s="258"/>
      <c r="F43" s="258"/>
      <c r="G43" s="258">
        <v>2375000</v>
      </c>
      <c r="H43" s="258"/>
      <c r="I43" s="258"/>
      <c r="J43" s="258"/>
      <c r="K43" s="258"/>
      <c r="L43" s="258">
        <f t="shared" si="10"/>
        <v>2375000</v>
      </c>
      <c r="M43" s="320">
        <v>0</v>
      </c>
      <c r="N43" s="258">
        <f t="shared" si="8"/>
        <v>2375000</v>
      </c>
      <c r="O43" s="258">
        <f t="shared" si="9"/>
        <v>0</v>
      </c>
      <c r="P43" s="292"/>
    </row>
    <row r="44" spans="1:16" ht="42" x14ac:dyDescent="0.35">
      <c r="A44" s="269"/>
      <c r="B44" s="270"/>
      <c r="C44" s="330"/>
      <c r="D44" s="331" t="s">
        <v>646</v>
      </c>
      <c r="E44" s="258"/>
      <c r="F44" s="258"/>
      <c r="G44" s="258">
        <v>500000</v>
      </c>
      <c r="H44" s="258"/>
      <c r="I44" s="258"/>
      <c r="J44" s="258"/>
      <c r="K44" s="258"/>
      <c r="L44" s="258">
        <f t="shared" si="10"/>
        <v>500000</v>
      </c>
      <c r="M44" s="320">
        <v>0</v>
      </c>
      <c r="N44" s="258">
        <f t="shared" si="8"/>
        <v>500000</v>
      </c>
      <c r="O44" s="258">
        <f t="shared" si="9"/>
        <v>0</v>
      </c>
      <c r="P44" s="292"/>
    </row>
    <row r="45" spans="1:16" ht="21" x14ac:dyDescent="0.35">
      <c r="A45" s="269"/>
      <c r="B45" s="270"/>
      <c r="C45" s="330"/>
      <c r="D45" s="331" t="s">
        <v>647</v>
      </c>
      <c r="E45" s="258"/>
      <c r="F45" s="258"/>
      <c r="G45" s="258">
        <v>375000</v>
      </c>
      <c r="H45" s="258"/>
      <c r="I45" s="258"/>
      <c r="J45" s="348" t="s">
        <v>708</v>
      </c>
      <c r="K45" s="258"/>
      <c r="L45" s="258">
        <f t="shared" si="10"/>
        <v>375000</v>
      </c>
      <c r="M45" s="320">
        <v>0</v>
      </c>
      <c r="N45" s="258">
        <f t="shared" si="8"/>
        <v>375000</v>
      </c>
      <c r="O45" s="258">
        <f t="shared" si="9"/>
        <v>0</v>
      </c>
      <c r="P45" s="292"/>
    </row>
    <row r="46" spans="1:16" ht="37.5" x14ac:dyDescent="0.35">
      <c r="A46" s="245"/>
      <c r="B46" s="246"/>
      <c r="C46" s="459"/>
      <c r="D46" s="247" t="s">
        <v>648</v>
      </c>
      <c r="E46" s="258"/>
      <c r="F46" s="258"/>
      <c r="G46" s="258">
        <v>400000</v>
      </c>
      <c r="H46" s="258"/>
      <c r="I46" s="441" t="s">
        <v>758</v>
      </c>
      <c r="J46" s="348" t="s">
        <v>757</v>
      </c>
      <c r="K46" s="258">
        <v>400000</v>
      </c>
      <c r="L46" s="258">
        <f t="shared" si="10"/>
        <v>0</v>
      </c>
      <c r="M46" s="320">
        <v>0</v>
      </c>
      <c r="N46" s="258">
        <f t="shared" si="8"/>
        <v>400000</v>
      </c>
      <c r="O46" s="258">
        <f t="shared" si="9"/>
        <v>0</v>
      </c>
      <c r="P46" s="292"/>
    </row>
    <row r="47" spans="1:16" ht="37.5" x14ac:dyDescent="0.35">
      <c r="A47" s="269"/>
      <c r="B47" s="270"/>
      <c r="C47" s="330"/>
      <c r="D47" s="331" t="s">
        <v>626</v>
      </c>
      <c r="E47" s="258"/>
      <c r="F47" s="258"/>
      <c r="G47" s="258">
        <v>87500</v>
      </c>
      <c r="H47" s="258"/>
      <c r="I47" s="441" t="s">
        <v>758</v>
      </c>
      <c r="J47" s="348" t="s">
        <v>757</v>
      </c>
      <c r="K47" s="258">
        <v>82500</v>
      </c>
      <c r="L47" s="258">
        <f>G47-K47</f>
        <v>5000</v>
      </c>
      <c r="M47" s="320">
        <v>0</v>
      </c>
      <c r="N47" s="258">
        <f t="shared" si="8"/>
        <v>87500</v>
      </c>
      <c r="O47" s="258">
        <f t="shared" si="9"/>
        <v>0</v>
      </c>
      <c r="P47" s="292"/>
    </row>
    <row r="48" spans="1:16" ht="21" x14ac:dyDescent="0.35">
      <c r="A48" s="269"/>
      <c r="B48" s="270"/>
      <c r="C48" s="330"/>
      <c r="D48" s="331" t="s">
        <v>649</v>
      </c>
      <c r="E48" s="258"/>
      <c r="F48" s="258"/>
      <c r="G48" s="258">
        <v>137500</v>
      </c>
      <c r="H48" s="258"/>
      <c r="I48" s="258"/>
      <c r="J48" s="348"/>
      <c r="K48" s="258"/>
      <c r="L48" s="258">
        <f t="shared" si="10"/>
        <v>137500</v>
      </c>
      <c r="M48" s="320">
        <v>0</v>
      </c>
      <c r="N48" s="258">
        <f t="shared" si="8"/>
        <v>137500</v>
      </c>
      <c r="O48" s="258">
        <f t="shared" si="9"/>
        <v>0</v>
      </c>
      <c r="P48" s="292"/>
    </row>
    <row r="49" spans="1:16" ht="21" x14ac:dyDescent="0.35">
      <c r="A49" s="269"/>
      <c r="B49" s="270"/>
      <c r="C49" s="330"/>
      <c r="D49" s="331" t="s">
        <v>653</v>
      </c>
      <c r="E49" s="258"/>
      <c r="F49" s="258"/>
      <c r="G49" s="258">
        <v>450000</v>
      </c>
      <c r="H49" s="258"/>
      <c r="I49" s="258"/>
      <c r="J49" s="258"/>
      <c r="K49" s="258"/>
      <c r="L49" s="258">
        <f t="shared" si="10"/>
        <v>450000</v>
      </c>
      <c r="M49" s="320">
        <v>0</v>
      </c>
      <c r="N49" s="258">
        <f t="shared" si="8"/>
        <v>450000</v>
      </c>
      <c r="O49" s="258">
        <f t="shared" si="9"/>
        <v>0</v>
      </c>
      <c r="P49" s="292"/>
    </row>
    <row r="50" spans="1:16" ht="21" x14ac:dyDescent="0.35">
      <c r="A50" s="269"/>
      <c r="B50" s="270"/>
      <c r="C50" s="330"/>
      <c r="D50" s="331" t="s">
        <v>654</v>
      </c>
      <c r="E50" s="258"/>
      <c r="F50" s="258"/>
      <c r="G50" s="258">
        <v>17336000</v>
      </c>
      <c r="H50" s="258"/>
      <c r="I50" s="258"/>
      <c r="J50" s="258"/>
      <c r="K50" s="258"/>
      <c r="L50" s="258">
        <f t="shared" si="10"/>
        <v>17336000</v>
      </c>
      <c r="M50" s="320">
        <v>0</v>
      </c>
      <c r="N50" s="258">
        <f t="shared" si="8"/>
        <v>17336000</v>
      </c>
      <c r="O50" s="258">
        <f t="shared" si="9"/>
        <v>0</v>
      </c>
      <c r="P50" s="292"/>
    </row>
    <row r="51" spans="1:16" s="363" customFormat="1" ht="37.5" x14ac:dyDescent="0.35">
      <c r="A51" s="450"/>
      <c r="B51" s="451"/>
      <c r="C51" s="591" t="s">
        <v>470</v>
      </c>
      <c r="D51" s="592"/>
      <c r="E51" s="385">
        <f>F51+G51</f>
        <v>6261900</v>
      </c>
      <c r="F51" s="360">
        <f>F52</f>
        <v>4690400</v>
      </c>
      <c r="G51" s="360">
        <f>G53</f>
        <v>1571500</v>
      </c>
      <c r="H51" s="360"/>
      <c r="I51" s="360"/>
      <c r="J51" s="360"/>
      <c r="K51" s="360">
        <f>K53</f>
        <v>1554500</v>
      </c>
      <c r="L51" s="360">
        <f>L53+L52</f>
        <v>17000</v>
      </c>
      <c r="M51" s="360">
        <f>M52+M53</f>
        <v>1313500</v>
      </c>
      <c r="N51" s="360">
        <f>E51-M51</f>
        <v>4948400</v>
      </c>
      <c r="O51" s="452">
        <f>M51*100/E51</f>
        <v>20.976061578754052</v>
      </c>
      <c r="P51" s="362" t="s">
        <v>471</v>
      </c>
    </row>
    <row r="52" spans="1:16" ht="21" x14ac:dyDescent="0.35">
      <c r="A52" s="269"/>
      <c r="B52" s="270"/>
      <c r="C52" s="330"/>
      <c r="D52" s="331" t="s">
        <v>83</v>
      </c>
      <c r="E52" s="258"/>
      <c r="F52" s="335">
        <v>4690400</v>
      </c>
      <c r="G52" s="335"/>
      <c r="H52" s="335"/>
      <c r="I52" s="335"/>
      <c r="J52" s="335"/>
      <c r="K52" s="335"/>
      <c r="L52" s="335"/>
      <c r="M52" s="336">
        <f>38800+55200</f>
        <v>94000</v>
      </c>
      <c r="N52" s="335">
        <f>F52-M52</f>
        <v>4596400</v>
      </c>
      <c r="O52" s="340">
        <f>M52*100/F52</f>
        <v>2.0040934675081017</v>
      </c>
      <c r="P52" s="298"/>
    </row>
    <row r="53" spans="1:16" ht="21" x14ac:dyDescent="0.35">
      <c r="A53" s="269"/>
      <c r="B53" s="270"/>
      <c r="C53" s="330"/>
      <c r="D53" s="331" t="s">
        <v>82</v>
      </c>
      <c r="E53" s="258"/>
      <c r="F53" s="335"/>
      <c r="G53" s="335">
        <f>G54+G55+G56+G57+G58+G59+G60+G61+G62+G63+G64</f>
        <v>1571500</v>
      </c>
      <c r="H53" s="335"/>
      <c r="I53" s="335"/>
      <c r="J53" s="335"/>
      <c r="K53" s="335">
        <f>K54+K55+K56+K57+K58+K59+K60+K61+K62+K63+K64</f>
        <v>1554500</v>
      </c>
      <c r="L53" s="335">
        <f>L54+L55+L56+L57+L58+L59+L60+L61+L62+L63+L64</f>
        <v>17000</v>
      </c>
      <c r="M53" s="336">
        <f>M54+M55+M56+M57+M58+M59+M60+M61+M62+M63+M64</f>
        <v>1219500</v>
      </c>
      <c r="N53" s="335">
        <f t="shared" ref="N53:N64" si="11">G53-M53</f>
        <v>352000</v>
      </c>
      <c r="O53" s="340">
        <f t="shared" ref="O53:O64" si="12">M53*100/G53</f>
        <v>77.601018135539292</v>
      </c>
      <c r="P53" s="298"/>
    </row>
    <row r="54" spans="1:16" ht="37.5" x14ac:dyDescent="0.35">
      <c r="A54" s="269"/>
      <c r="B54" s="270"/>
      <c r="C54" s="330"/>
      <c r="D54" s="331" t="s">
        <v>634</v>
      </c>
      <c r="E54" s="258"/>
      <c r="F54" s="258"/>
      <c r="G54" s="258">
        <v>50000</v>
      </c>
      <c r="H54" s="352" t="s">
        <v>400</v>
      </c>
      <c r="I54" s="448" t="s">
        <v>774</v>
      </c>
      <c r="J54" s="348" t="s">
        <v>775</v>
      </c>
      <c r="K54" s="335">
        <v>50000</v>
      </c>
      <c r="L54" s="335">
        <f>G54-K54</f>
        <v>0</v>
      </c>
      <c r="M54" s="336">
        <v>50000</v>
      </c>
      <c r="N54" s="335">
        <f t="shared" si="11"/>
        <v>0</v>
      </c>
      <c r="O54" s="335">
        <f t="shared" si="12"/>
        <v>100</v>
      </c>
      <c r="P54" s="298"/>
    </row>
    <row r="55" spans="1:16" ht="63" x14ac:dyDescent="0.35">
      <c r="A55" s="269"/>
      <c r="B55" s="270"/>
      <c r="C55" s="330"/>
      <c r="D55" s="331" t="s">
        <v>635</v>
      </c>
      <c r="E55" s="258"/>
      <c r="F55" s="258"/>
      <c r="G55" s="258">
        <v>130000</v>
      </c>
      <c r="H55" s="352" t="s">
        <v>400</v>
      </c>
      <c r="I55" s="448" t="s">
        <v>774</v>
      </c>
      <c r="J55" s="348" t="s">
        <v>775</v>
      </c>
      <c r="K55" s="335">
        <v>129500</v>
      </c>
      <c r="L55" s="335">
        <f t="shared" ref="L55:L64" si="13">G55-K55</f>
        <v>500</v>
      </c>
      <c r="M55" s="336">
        <v>129500</v>
      </c>
      <c r="N55" s="335">
        <v>0</v>
      </c>
      <c r="O55" s="335">
        <f t="shared" si="12"/>
        <v>99.615384615384613</v>
      </c>
      <c r="P55" s="298"/>
    </row>
    <row r="56" spans="1:16" ht="37.5" x14ac:dyDescent="0.35">
      <c r="A56" s="269"/>
      <c r="B56" s="270"/>
      <c r="C56" s="330"/>
      <c r="D56" s="331" t="s">
        <v>636</v>
      </c>
      <c r="E56" s="258"/>
      <c r="F56" s="258"/>
      <c r="G56" s="258">
        <v>30000</v>
      </c>
      <c r="H56" s="352" t="s">
        <v>400</v>
      </c>
      <c r="I56" s="448" t="s">
        <v>774</v>
      </c>
      <c r="J56" s="348" t="s">
        <v>775</v>
      </c>
      <c r="K56" s="335">
        <v>30000</v>
      </c>
      <c r="L56" s="335">
        <f t="shared" si="13"/>
        <v>0</v>
      </c>
      <c r="M56" s="336">
        <v>30000</v>
      </c>
      <c r="N56" s="335">
        <f t="shared" si="11"/>
        <v>0</v>
      </c>
      <c r="O56" s="335">
        <f t="shared" si="12"/>
        <v>100</v>
      </c>
      <c r="P56" s="298"/>
    </row>
    <row r="57" spans="1:16" ht="37.5" x14ac:dyDescent="0.35">
      <c r="A57" s="269"/>
      <c r="B57" s="270"/>
      <c r="C57" s="330"/>
      <c r="D57" s="331" t="s">
        <v>639</v>
      </c>
      <c r="E57" s="258"/>
      <c r="F57" s="258"/>
      <c r="G57" s="258">
        <v>25000</v>
      </c>
      <c r="H57" s="352" t="s">
        <v>400</v>
      </c>
      <c r="I57" s="448" t="s">
        <v>774</v>
      </c>
      <c r="J57" s="348" t="s">
        <v>775</v>
      </c>
      <c r="K57" s="335">
        <v>24500</v>
      </c>
      <c r="L57" s="335">
        <f t="shared" si="13"/>
        <v>500</v>
      </c>
      <c r="M57" s="336">
        <v>24500</v>
      </c>
      <c r="N57" s="335">
        <v>0</v>
      </c>
      <c r="O57" s="335">
        <v>100</v>
      </c>
      <c r="P57" s="298"/>
    </row>
    <row r="58" spans="1:16" ht="37.5" x14ac:dyDescent="0.35">
      <c r="A58" s="269"/>
      <c r="B58" s="270"/>
      <c r="C58" s="330"/>
      <c r="D58" s="331" t="s">
        <v>637</v>
      </c>
      <c r="E58" s="258"/>
      <c r="F58" s="258"/>
      <c r="G58" s="258">
        <v>32000</v>
      </c>
      <c r="H58" s="352" t="s">
        <v>400</v>
      </c>
      <c r="I58" s="448" t="s">
        <v>774</v>
      </c>
      <c r="J58" s="348" t="s">
        <v>775</v>
      </c>
      <c r="K58" s="335">
        <v>32000</v>
      </c>
      <c r="L58" s="335">
        <f t="shared" si="13"/>
        <v>0</v>
      </c>
      <c r="M58" s="336">
        <v>32000</v>
      </c>
      <c r="N58" s="335">
        <f t="shared" si="11"/>
        <v>0</v>
      </c>
      <c r="O58" s="335">
        <f t="shared" si="12"/>
        <v>100</v>
      </c>
      <c r="P58" s="298"/>
    </row>
    <row r="59" spans="1:16" ht="37.5" x14ac:dyDescent="0.35">
      <c r="A59" s="269"/>
      <c r="B59" s="270"/>
      <c r="C59" s="330"/>
      <c r="D59" s="331" t="s">
        <v>638</v>
      </c>
      <c r="E59" s="258"/>
      <c r="F59" s="335"/>
      <c r="G59" s="335">
        <v>24500</v>
      </c>
      <c r="H59" s="352" t="s">
        <v>400</v>
      </c>
      <c r="I59" s="448" t="s">
        <v>774</v>
      </c>
      <c r="J59" s="348" t="s">
        <v>775</v>
      </c>
      <c r="K59" s="335">
        <v>24500</v>
      </c>
      <c r="L59" s="335">
        <f t="shared" si="13"/>
        <v>0</v>
      </c>
      <c r="M59" s="336">
        <v>24500</v>
      </c>
      <c r="N59" s="335">
        <f t="shared" si="11"/>
        <v>0</v>
      </c>
      <c r="O59" s="335">
        <f t="shared" si="12"/>
        <v>100</v>
      </c>
      <c r="P59" s="298"/>
    </row>
    <row r="60" spans="1:16" ht="38.25" customHeight="1" x14ac:dyDescent="0.35">
      <c r="A60" s="269"/>
      <c r="B60" s="270"/>
      <c r="C60" s="330"/>
      <c r="D60" s="331" t="s">
        <v>640</v>
      </c>
      <c r="E60" s="258"/>
      <c r="F60" s="335"/>
      <c r="G60" s="335">
        <v>10000</v>
      </c>
      <c r="H60" s="352" t="s">
        <v>400</v>
      </c>
      <c r="I60" s="448" t="s">
        <v>774</v>
      </c>
      <c r="J60" s="348" t="s">
        <v>775</v>
      </c>
      <c r="K60" s="335">
        <v>10000</v>
      </c>
      <c r="L60" s="335">
        <f t="shared" si="13"/>
        <v>0</v>
      </c>
      <c r="M60" s="336">
        <v>10000</v>
      </c>
      <c r="N60" s="335">
        <f t="shared" si="11"/>
        <v>0</v>
      </c>
      <c r="O60" s="335">
        <f t="shared" si="12"/>
        <v>100</v>
      </c>
      <c r="P60" s="298"/>
    </row>
    <row r="61" spans="1:16" ht="37.5" x14ac:dyDescent="0.35">
      <c r="A61" s="269"/>
      <c r="B61" s="270"/>
      <c r="C61" s="330"/>
      <c r="D61" s="331" t="s">
        <v>641</v>
      </c>
      <c r="E61" s="258"/>
      <c r="F61" s="335"/>
      <c r="G61" s="335">
        <v>450000</v>
      </c>
      <c r="H61" s="352" t="s">
        <v>400</v>
      </c>
      <c r="I61" s="448" t="s">
        <v>774</v>
      </c>
      <c r="J61" s="348" t="s">
        <v>775</v>
      </c>
      <c r="K61" s="335">
        <v>449000</v>
      </c>
      <c r="L61" s="335">
        <f t="shared" si="13"/>
        <v>1000</v>
      </c>
      <c r="M61" s="336">
        <v>449000</v>
      </c>
      <c r="N61" s="335">
        <v>0</v>
      </c>
      <c r="O61" s="335">
        <f t="shared" si="12"/>
        <v>99.777777777777771</v>
      </c>
      <c r="P61" s="298"/>
    </row>
    <row r="62" spans="1:16" ht="42" x14ac:dyDescent="0.35">
      <c r="A62" s="269"/>
      <c r="B62" s="270"/>
      <c r="C62" s="330"/>
      <c r="D62" s="331" t="s">
        <v>651</v>
      </c>
      <c r="E62" s="258"/>
      <c r="F62" s="335"/>
      <c r="G62" s="335">
        <v>40000</v>
      </c>
      <c r="H62" s="352" t="s">
        <v>400</v>
      </c>
      <c r="I62" s="448" t="s">
        <v>774</v>
      </c>
      <c r="J62" s="348" t="s">
        <v>775</v>
      </c>
      <c r="K62" s="335">
        <v>40000</v>
      </c>
      <c r="L62" s="335">
        <f t="shared" si="13"/>
        <v>0</v>
      </c>
      <c r="M62" s="336">
        <v>40000</v>
      </c>
      <c r="N62" s="335">
        <f t="shared" si="11"/>
        <v>0</v>
      </c>
      <c r="O62" s="335">
        <f t="shared" si="12"/>
        <v>100</v>
      </c>
      <c r="P62" s="298"/>
    </row>
    <row r="63" spans="1:16" ht="63" x14ac:dyDescent="0.35">
      <c r="A63" s="269"/>
      <c r="B63" s="270"/>
      <c r="C63" s="330"/>
      <c r="D63" s="331" t="s">
        <v>652</v>
      </c>
      <c r="E63" s="258"/>
      <c r="F63" s="335"/>
      <c r="G63" s="335">
        <v>430000</v>
      </c>
      <c r="H63" s="352" t="s">
        <v>400</v>
      </c>
      <c r="I63" s="448" t="s">
        <v>774</v>
      </c>
      <c r="J63" s="348" t="s">
        <v>775</v>
      </c>
      <c r="K63" s="335">
        <v>430000</v>
      </c>
      <c r="L63" s="335">
        <f t="shared" si="13"/>
        <v>0</v>
      </c>
      <c r="M63" s="336">
        <v>430000</v>
      </c>
      <c r="N63" s="335">
        <f t="shared" si="11"/>
        <v>0</v>
      </c>
      <c r="O63" s="335">
        <f t="shared" si="12"/>
        <v>100</v>
      </c>
      <c r="P63" s="298"/>
    </row>
    <row r="64" spans="1:16" ht="42" x14ac:dyDescent="0.35">
      <c r="A64" s="269"/>
      <c r="B64" s="270"/>
      <c r="C64" s="330"/>
      <c r="D64" s="331" t="s">
        <v>655</v>
      </c>
      <c r="E64" s="258"/>
      <c r="F64" s="335"/>
      <c r="G64" s="335">
        <v>350000</v>
      </c>
      <c r="H64" s="335"/>
      <c r="I64" s="448" t="s">
        <v>773</v>
      </c>
      <c r="J64" s="348" t="s">
        <v>696</v>
      </c>
      <c r="K64" s="335">
        <v>335000</v>
      </c>
      <c r="L64" s="335">
        <f t="shared" si="13"/>
        <v>15000</v>
      </c>
      <c r="M64" s="336">
        <v>0</v>
      </c>
      <c r="N64" s="335">
        <f t="shared" si="11"/>
        <v>350000</v>
      </c>
      <c r="O64" s="335">
        <f t="shared" si="12"/>
        <v>0</v>
      </c>
      <c r="P64" s="298"/>
    </row>
    <row r="65" spans="1:16" s="363" customFormat="1" ht="41.25" customHeight="1" x14ac:dyDescent="0.35">
      <c r="A65" s="358"/>
      <c r="B65" s="359"/>
      <c r="C65" s="583" t="s">
        <v>472</v>
      </c>
      <c r="D65" s="584"/>
      <c r="E65" s="385">
        <f>F65+G65</f>
        <v>4932000</v>
      </c>
      <c r="F65" s="453">
        <f>F66</f>
        <v>1682000</v>
      </c>
      <c r="G65" s="453">
        <f>G67</f>
        <v>3250000</v>
      </c>
      <c r="H65" s="453"/>
      <c r="I65" s="453"/>
      <c r="J65" s="453"/>
      <c r="K65" s="453">
        <f>K67</f>
        <v>0</v>
      </c>
      <c r="L65" s="453">
        <f>L67+L66</f>
        <v>3250000</v>
      </c>
      <c r="M65" s="453">
        <f>M66+M67</f>
        <v>0</v>
      </c>
      <c r="N65" s="453">
        <f>N66+N67</f>
        <v>4932000</v>
      </c>
      <c r="O65" s="453">
        <f>M65*100/E65</f>
        <v>0</v>
      </c>
      <c r="P65" s="454" t="s">
        <v>473</v>
      </c>
    </row>
    <row r="66" spans="1:16" ht="25.5" customHeight="1" x14ac:dyDescent="0.35">
      <c r="A66" s="269"/>
      <c r="B66" s="250"/>
      <c r="C66" s="337"/>
      <c r="D66" s="458" t="s">
        <v>83</v>
      </c>
      <c r="E66" s="460"/>
      <c r="F66" s="335">
        <v>1682000</v>
      </c>
      <c r="G66" s="335"/>
      <c r="H66" s="335"/>
      <c r="I66" s="335"/>
      <c r="J66" s="335"/>
      <c r="K66" s="335"/>
      <c r="L66" s="335"/>
      <c r="M66" s="336"/>
      <c r="N66" s="335">
        <f>F66-M66</f>
        <v>1682000</v>
      </c>
      <c r="O66" s="335">
        <f>M66*100/F66</f>
        <v>0</v>
      </c>
      <c r="P66" s="298"/>
    </row>
    <row r="67" spans="1:16" ht="20.25" customHeight="1" x14ac:dyDescent="0.35">
      <c r="A67" s="249"/>
      <c r="B67" s="250"/>
      <c r="C67" s="337"/>
      <c r="D67" s="251" t="s">
        <v>82</v>
      </c>
      <c r="E67" s="460"/>
      <c r="F67" s="335"/>
      <c r="G67" s="335">
        <f>G68</f>
        <v>3250000</v>
      </c>
      <c r="H67" s="335"/>
      <c r="I67" s="335"/>
      <c r="J67" s="335"/>
      <c r="K67" s="335">
        <f>K68</f>
        <v>0</v>
      </c>
      <c r="L67" s="335">
        <f>L68</f>
        <v>3250000</v>
      </c>
      <c r="M67" s="336">
        <f>M68</f>
        <v>0</v>
      </c>
      <c r="N67" s="335">
        <f>G67-M67</f>
        <v>3250000</v>
      </c>
      <c r="O67" s="335">
        <f>M67*100/G67</f>
        <v>0</v>
      </c>
      <c r="P67" s="298"/>
    </row>
    <row r="68" spans="1:16" ht="24" customHeight="1" x14ac:dyDescent="0.35">
      <c r="A68" s="275"/>
      <c r="B68" s="276"/>
      <c r="C68" s="461"/>
      <c r="D68" s="462" t="s">
        <v>650</v>
      </c>
      <c r="E68" s="460"/>
      <c r="F68" s="258"/>
      <c r="G68" s="335">
        <v>3250000</v>
      </c>
      <c r="H68" s="335"/>
      <c r="I68" s="335"/>
      <c r="J68" s="335"/>
      <c r="K68" s="335"/>
      <c r="L68" s="335">
        <f>G68-K68</f>
        <v>3250000</v>
      </c>
      <c r="M68" s="336"/>
      <c r="N68" s="335"/>
      <c r="O68" s="335"/>
      <c r="P68" s="298"/>
    </row>
    <row r="69" spans="1:16" ht="24.75" customHeight="1" x14ac:dyDescent="0.3">
      <c r="A69" s="575" t="s">
        <v>474</v>
      </c>
      <c r="B69" s="575"/>
      <c r="C69" s="575"/>
      <c r="D69" s="575"/>
      <c r="E69" s="266">
        <f>F69</f>
        <v>1400000</v>
      </c>
      <c r="F69" s="266">
        <f>F70+F72</f>
        <v>1400000</v>
      </c>
      <c r="G69" s="266"/>
      <c r="H69" s="266"/>
      <c r="I69" s="266"/>
      <c r="J69" s="266"/>
      <c r="K69" s="266">
        <f>K70+K72</f>
        <v>0</v>
      </c>
      <c r="L69" s="266">
        <f>L70+L72</f>
        <v>0</v>
      </c>
      <c r="M69" s="266">
        <f>M70+M72</f>
        <v>279400</v>
      </c>
      <c r="N69" s="266">
        <f>N70+N72</f>
        <v>1120600</v>
      </c>
      <c r="O69" s="329">
        <f>M69*100/E69</f>
        <v>19.957142857142856</v>
      </c>
      <c r="P69" s="294"/>
    </row>
    <row r="70" spans="1:16" s="261" customFormat="1" ht="23.25" customHeight="1" x14ac:dyDescent="0.35">
      <c r="A70" s="267"/>
      <c r="B70" s="529" t="s">
        <v>475</v>
      </c>
      <c r="C70" s="529"/>
      <c r="D70" s="530"/>
      <c r="E70" s="268">
        <f>E71</f>
        <v>1200000</v>
      </c>
      <c r="F70" s="268">
        <f>F71</f>
        <v>1200000</v>
      </c>
      <c r="G70" s="268"/>
      <c r="H70" s="268"/>
      <c r="I70" s="268"/>
      <c r="J70" s="268"/>
      <c r="K70" s="268">
        <f>K71</f>
        <v>0</v>
      </c>
      <c r="L70" s="268">
        <f>L71</f>
        <v>0</v>
      </c>
      <c r="M70" s="268">
        <f>M71</f>
        <v>279400</v>
      </c>
      <c r="N70" s="268">
        <f>N71</f>
        <v>920600</v>
      </c>
      <c r="O70" s="328">
        <f>M70*100/E70</f>
        <v>23.283333333333335</v>
      </c>
      <c r="P70" s="295"/>
    </row>
    <row r="71" spans="1:16" s="357" customFormat="1" ht="42" customHeight="1" x14ac:dyDescent="0.35">
      <c r="A71" s="364"/>
      <c r="B71" s="365"/>
      <c r="C71" s="531" t="s">
        <v>476</v>
      </c>
      <c r="D71" s="532"/>
      <c r="E71" s="378">
        <f>F71</f>
        <v>1200000</v>
      </c>
      <c r="F71" s="378">
        <v>1200000</v>
      </c>
      <c r="G71" s="378"/>
      <c r="H71" s="378"/>
      <c r="I71" s="378"/>
      <c r="J71" s="378"/>
      <c r="K71" s="378"/>
      <c r="L71" s="378"/>
      <c r="M71" s="378">
        <v>279400</v>
      </c>
      <c r="N71" s="378">
        <f>F71-M71</f>
        <v>920600</v>
      </c>
      <c r="O71" s="379">
        <f>M71*100/F71</f>
        <v>23.283333333333335</v>
      </c>
      <c r="P71" s="380" t="s">
        <v>477</v>
      </c>
    </row>
    <row r="72" spans="1:16" s="261" customFormat="1" ht="25.5" customHeight="1" x14ac:dyDescent="0.35">
      <c r="A72" s="267"/>
      <c r="B72" s="529" t="s">
        <v>478</v>
      </c>
      <c r="C72" s="529"/>
      <c r="D72" s="530"/>
      <c r="E72" s="242">
        <f>E73</f>
        <v>200000</v>
      </c>
      <c r="F72" s="242">
        <f>F73</f>
        <v>200000</v>
      </c>
      <c r="G72" s="242"/>
      <c r="H72" s="242"/>
      <c r="I72" s="242"/>
      <c r="J72" s="242"/>
      <c r="K72" s="242">
        <f>K73</f>
        <v>0</v>
      </c>
      <c r="L72" s="242">
        <f>L73</f>
        <v>0</v>
      </c>
      <c r="M72" s="242">
        <f>M73</f>
        <v>0</v>
      </c>
      <c r="N72" s="242">
        <f>E72-M72</f>
        <v>200000</v>
      </c>
      <c r="O72" s="242">
        <f>M72*100/E72</f>
        <v>0</v>
      </c>
      <c r="P72" s="296"/>
    </row>
    <row r="73" spans="1:16" s="357" customFormat="1" ht="75" x14ac:dyDescent="0.35">
      <c r="A73" s="355"/>
      <c r="B73" s="356"/>
      <c r="C73" s="533" t="s">
        <v>479</v>
      </c>
      <c r="D73" s="534"/>
      <c r="E73" s="381">
        <f>F73</f>
        <v>200000</v>
      </c>
      <c r="F73" s="381">
        <v>200000</v>
      </c>
      <c r="G73" s="381"/>
      <c r="H73" s="381"/>
      <c r="I73" s="381"/>
      <c r="J73" s="381"/>
      <c r="K73" s="381"/>
      <c r="L73" s="381"/>
      <c r="M73" s="381">
        <v>0</v>
      </c>
      <c r="N73" s="381">
        <f>F73-M73</f>
        <v>200000</v>
      </c>
      <c r="O73" s="381">
        <f>M73*100/F73</f>
        <v>0</v>
      </c>
      <c r="P73" s="367" t="s">
        <v>480</v>
      </c>
    </row>
    <row r="74" spans="1:16" ht="21" x14ac:dyDescent="0.3">
      <c r="A74" s="535" t="s">
        <v>481</v>
      </c>
      <c r="B74" s="536"/>
      <c r="C74" s="536"/>
      <c r="D74" s="537"/>
      <c r="E74" s="266">
        <f>F74+G74</f>
        <v>17021300</v>
      </c>
      <c r="F74" s="266">
        <f>F75+F80</f>
        <v>2245300</v>
      </c>
      <c r="G74" s="266">
        <f>G75+G80</f>
        <v>14776000</v>
      </c>
      <c r="H74" s="266"/>
      <c r="I74" s="266"/>
      <c r="J74" s="266"/>
      <c r="K74" s="266">
        <f>K75+K80</f>
        <v>0</v>
      </c>
      <c r="L74" s="266">
        <f>L75+L80</f>
        <v>14776000</v>
      </c>
      <c r="M74" s="266">
        <f>M75+M80</f>
        <v>0</v>
      </c>
      <c r="N74" s="266">
        <f>N75+N80</f>
        <v>17021300</v>
      </c>
      <c r="O74" s="266">
        <f>M74*100/E74</f>
        <v>0</v>
      </c>
      <c r="P74" s="294"/>
    </row>
    <row r="75" spans="1:16" s="261" customFormat="1" ht="21" x14ac:dyDescent="0.35">
      <c r="A75" s="267"/>
      <c r="B75" s="529" t="s">
        <v>482</v>
      </c>
      <c r="C75" s="529"/>
      <c r="D75" s="530"/>
      <c r="E75" s="268">
        <f>F75+G75</f>
        <v>15945300</v>
      </c>
      <c r="F75" s="268">
        <f>F76</f>
        <v>1169300</v>
      </c>
      <c r="G75" s="268">
        <f>G76</f>
        <v>14776000</v>
      </c>
      <c r="H75" s="268"/>
      <c r="I75" s="268"/>
      <c r="J75" s="268"/>
      <c r="K75" s="268">
        <f>K76</f>
        <v>0</v>
      </c>
      <c r="L75" s="268">
        <f>L76</f>
        <v>14776000</v>
      </c>
      <c r="M75" s="268">
        <f>M76</f>
        <v>0</v>
      </c>
      <c r="N75" s="268">
        <f>N76</f>
        <v>15945300</v>
      </c>
      <c r="O75" s="268">
        <f>M75*100/E75</f>
        <v>0</v>
      </c>
      <c r="P75" s="295"/>
    </row>
    <row r="76" spans="1:16" s="382" customFormat="1" ht="37.5" x14ac:dyDescent="0.35">
      <c r="A76" s="383"/>
      <c r="B76" s="384"/>
      <c r="C76" s="568" t="s">
        <v>483</v>
      </c>
      <c r="D76" s="569"/>
      <c r="E76" s="385">
        <f>F76+G76</f>
        <v>15945300</v>
      </c>
      <c r="F76" s="385">
        <f>F77+F79</f>
        <v>1169300</v>
      </c>
      <c r="G76" s="385">
        <f>G78</f>
        <v>14776000</v>
      </c>
      <c r="H76" s="385"/>
      <c r="I76" s="385"/>
      <c r="J76" s="385"/>
      <c r="K76" s="385">
        <f>K78</f>
        <v>0</v>
      </c>
      <c r="L76" s="385">
        <f>L78</f>
        <v>14776000</v>
      </c>
      <c r="M76" s="385">
        <f>M77+M78+M79</f>
        <v>0</v>
      </c>
      <c r="N76" s="385">
        <f>N77+N78+N79</f>
        <v>15945300</v>
      </c>
      <c r="O76" s="385">
        <f>M76*100/E76</f>
        <v>0</v>
      </c>
      <c r="P76" s="367" t="s">
        <v>477</v>
      </c>
    </row>
    <row r="77" spans="1:16" ht="21" x14ac:dyDescent="0.35">
      <c r="A77" s="269"/>
      <c r="B77" s="270"/>
      <c r="C77" s="270"/>
      <c r="D77" s="351" t="s">
        <v>484</v>
      </c>
      <c r="E77" s="386">
        <v>1089300</v>
      </c>
      <c r="F77" s="386">
        <v>1089300</v>
      </c>
      <c r="G77" s="386"/>
      <c r="H77" s="386"/>
      <c r="I77" s="386"/>
      <c r="J77" s="386"/>
      <c r="K77" s="386"/>
      <c r="L77" s="386"/>
      <c r="M77" s="387"/>
      <c r="N77" s="386">
        <f>F77-M77</f>
        <v>1089300</v>
      </c>
      <c r="O77" s="386">
        <f>M77*100/F77</f>
        <v>0</v>
      </c>
      <c r="P77" s="388"/>
    </row>
    <row r="78" spans="1:16" ht="21" x14ac:dyDescent="0.35">
      <c r="A78" s="269"/>
      <c r="B78" s="270"/>
      <c r="C78" s="270"/>
      <c r="D78" s="351" t="s">
        <v>633</v>
      </c>
      <c r="E78" s="258">
        <v>14776000</v>
      </c>
      <c r="F78" s="258"/>
      <c r="G78" s="258">
        <v>14776000</v>
      </c>
      <c r="H78" s="436" t="s">
        <v>706</v>
      </c>
      <c r="I78" s="258"/>
      <c r="J78" s="258"/>
      <c r="K78" s="258"/>
      <c r="L78" s="258">
        <f>G78-K78</f>
        <v>14776000</v>
      </c>
      <c r="M78" s="320"/>
      <c r="N78" s="258">
        <f>G78-M78</f>
        <v>14776000</v>
      </c>
      <c r="O78" s="258">
        <f>M78*100/G78</f>
        <v>0</v>
      </c>
      <c r="P78" s="389"/>
    </row>
    <row r="79" spans="1:16" ht="21" x14ac:dyDescent="0.35">
      <c r="A79" s="269"/>
      <c r="B79" s="270"/>
      <c r="C79" s="270"/>
      <c r="D79" s="351" t="s">
        <v>485</v>
      </c>
      <c r="E79" s="258">
        <v>80000</v>
      </c>
      <c r="F79" s="258">
        <v>80000</v>
      </c>
      <c r="G79" s="258"/>
      <c r="H79" s="258"/>
      <c r="I79" s="258"/>
      <c r="J79" s="258"/>
      <c r="K79" s="258"/>
      <c r="L79" s="258"/>
      <c r="M79" s="320"/>
      <c r="N79" s="258">
        <f>F79-M79</f>
        <v>80000</v>
      </c>
      <c r="O79" s="258">
        <f>M79*100/F79</f>
        <v>0</v>
      </c>
      <c r="P79" s="389"/>
    </row>
    <row r="80" spans="1:16" s="261" customFormat="1" ht="24.75" customHeight="1" x14ac:dyDescent="0.35">
      <c r="A80" s="267"/>
      <c r="B80" s="529" t="s">
        <v>486</v>
      </c>
      <c r="C80" s="529"/>
      <c r="D80" s="530"/>
      <c r="E80" s="242">
        <f>F80</f>
        <v>1076000</v>
      </c>
      <c r="F80" s="242">
        <f>F81</f>
        <v>1076000</v>
      </c>
      <c r="G80" s="242"/>
      <c r="H80" s="242"/>
      <c r="I80" s="242"/>
      <c r="J80" s="242"/>
      <c r="K80" s="242">
        <f>K81</f>
        <v>0</v>
      </c>
      <c r="L80" s="242">
        <f>L81</f>
        <v>0</v>
      </c>
      <c r="M80" s="242">
        <f>M81</f>
        <v>0</v>
      </c>
      <c r="N80" s="242">
        <f>N81</f>
        <v>1076000</v>
      </c>
      <c r="O80" s="242">
        <f>M80*100/E80</f>
        <v>0</v>
      </c>
      <c r="P80" s="296"/>
    </row>
    <row r="81" spans="1:16" s="357" customFormat="1" ht="37.5" x14ac:dyDescent="0.35">
      <c r="A81" s="355"/>
      <c r="B81" s="356"/>
      <c r="C81" s="570" t="s">
        <v>487</v>
      </c>
      <c r="D81" s="571"/>
      <c r="E81" s="366">
        <v>1076000</v>
      </c>
      <c r="F81" s="366">
        <v>1076000</v>
      </c>
      <c r="G81" s="366"/>
      <c r="H81" s="366"/>
      <c r="I81" s="366"/>
      <c r="J81" s="366"/>
      <c r="K81" s="366"/>
      <c r="L81" s="366"/>
      <c r="M81" s="366"/>
      <c r="N81" s="366">
        <f>F81-M81</f>
        <v>1076000</v>
      </c>
      <c r="O81" s="366">
        <f>M81*100/F81</f>
        <v>0</v>
      </c>
      <c r="P81" s="367" t="s">
        <v>488</v>
      </c>
    </row>
    <row r="82" spans="1:16" ht="24" customHeight="1" x14ac:dyDescent="0.3">
      <c r="A82" s="572" t="s">
        <v>489</v>
      </c>
      <c r="B82" s="573"/>
      <c r="C82" s="573"/>
      <c r="D82" s="574"/>
      <c r="E82" s="266">
        <f>E83+E86</f>
        <v>20100000</v>
      </c>
      <c r="F82" s="266">
        <f>F83+F86</f>
        <v>20100000</v>
      </c>
      <c r="G82" s="266">
        <f>G83+G86</f>
        <v>0</v>
      </c>
      <c r="H82" s="266"/>
      <c r="I82" s="266"/>
      <c r="J82" s="266"/>
      <c r="K82" s="266">
        <f>K83+K86</f>
        <v>0</v>
      </c>
      <c r="L82" s="266">
        <f>L83+L86</f>
        <v>0</v>
      </c>
      <c r="M82" s="266">
        <f>M83+M86</f>
        <v>700</v>
      </c>
      <c r="N82" s="266">
        <f>N83+N86</f>
        <v>20099300</v>
      </c>
      <c r="O82" s="329">
        <f>M82*100/E82</f>
        <v>3.482587064676617E-3</v>
      </c>
      <c r="P82" s="294"/>
    </row>
    <row r="83" spans="1:16" s="261" customFormat="1" ht="24.75" customHeight="1" x14ac:dyDescent="0.35">
      <c r="A83" s="267"/>
      <c r="B83" s="529" t="s">
        <v>490</v>
      </c>
      <c r="C83" s="529"/>
      <c r="D83" s="530"/>
      <c r="E83" s="268">
        <f>F83+G83</f>
        <v>18000000</v>
      </c>
      <c r="F83" s="268">
        <f>F84+F85</f>
        <v>18000000</v>
      </c>
      <c r="G83" s="268">
        <f>G84+G85</f>
        <v>0</v>
      </c>
      <c r="H83" s="268"/>
      <c r="I83" s="268"/>
      <c r="J83" s="268"/>
      <c r="K83" s="268">
        <f>K84+K85</f>
        <v>0</v>
      </c>
      <c r="L83" s="268">
        <f>L84+L85</f>
        <v>0</v>
      </c>
      <c r="M83" s="268">
        <f>M84+M85</f>
        <v>700</v>
      </c>
      <c r="N83" s="268">
        <f>N84+N85</f>
        <v>17999300</v>
      </c>
      <c r="O83" s="328">
        <f>M83*100/E83</f>
        <v>3.8888888888888888E-3</v>
      </c>
      <c r="P83" s="295"/>
    </row>
    <row r="84" spans="1:16" s="382" customFormat="1" ht="37.5" x14ac:dyDescent="0.35">
      <c r="A84" s="383"/>
      <c r="B84" s="384"/>
      <c r="C84" s="538" t="s">
        <v>491</v>
      </c>
      <c r="D84" s="539"/>
      <c r="E84" s="374">
        <v>10000000</v>
      </c>
      <c r="F84" s="374">
        <v>10000000</v>
      </c>
      <c r="G84" s="374">
        <v>0</v>
      </c>
      <c r="H84" s="374"/>
      <c r="I84" s="374"/>
      <c r="J84" s="374"/>
      <c r="K84" s="374"/>
      <c r="L84" s="374"/>
      <c r="M84" s="374">
        <v>700</v>
      </c>
      <c r="N84" s="374">
        <f>E84-M84</f>
        <v>9999300</v>
      </c>
      <c r="O84" s="375">
        <f>M84*100/F84</f>
        <v>7.0000000000000001E-3</v>
      </c>
      <c r="P84" s="367" t="s">
        <v>492</v>
      </c>
    </row>
    <row r="85" spans="1:16" s="382" customFormat="1" ht="37.5" x14ac:dyDescent="0.35">
      <c r="A85" s="383"/>
      <c r="B85" s="384"/>
      <c r="C85" s="538" t="s">
        <v>493</v>
      </c>
      <c r="D85" s="539"/>
      <c r="E85" s="390">
        <v>8000000</v>
      </c>
      <c r="F85" s="390">
        <v>8000000</v>
      </c>
      <c r="G85" s="390">
        <v>0</v>
      </c>
      <c r="H85" s="390"/>
      <c r="I85" s="390"/>
      <c r="J85" s="390"/>
      <c r="K85" s="390"/>
      <c r="L85" s="390"/>
      <c r="M85" s="390"/>
      <c r="N85" s="390">
        <f>E85-M85</f>
        <v>8000000</v>
      </c>
      <c r="O85" s="374">
        <f>M85*100/F85</f>
        <v>0</v>
      </c>
      <c r="P85" s="380" t="s">
        <v>492</v>
      </c>
    </row>
    <row r="86" spans="1:16" s="261" customFormat="1" ht="24" customHeight="1" x14ac:dyDescent="0.35">
      <c r="A86" s="267"/>
      <c r="B86" s="529" t="s">
        <v>494</v>
      </c>
      <c r="C86" s="529"/>
      <c r="D86" s="530"/>
      <c r="E86" s="242">
        <f>F86+G86</f>
        <v>2100000</v>
      </c>
      <c r="F86" s="242">
        <f>F87+F88</f>
        <v>2100000</v>
      </c>
      <c r="G86" s="242"/>
      <c r="H86" s="242"/>
      <c r="I86" s="242"/>
      <c r="J86" s="242"/>
      <c r="K86" s="242">
        <f>K87+K88</f>
        <v>0</v>
      </c>
      <c r="L86" s="242">
        <f>L87+L88</f>
        <v>0</v>
      </c>
      <c r="M86" s="242">
        <f>M87+M88</f>
        <v>0</v>
      </c>
      <c r="N86" s="242">
        <f>N87+N88</f>
        <v>2100000</v>
      </c>
      <c r="O86" s="242">
        <f>M86*100/E86</f>
        <v>0</v>
      </c>
      <c r="P86" s="296"/>
    </row>
    <row r="87" spans="1:16" s="382" customFormat="1" ht="37.5" x14ac:dyDescent="0.35">
      <c r="A87" s="383"/>
      <c r="B87" s="384"/>
      <c r="C87" s="538" t="s">
        <v>495</v>
      </c>
      <c r="D87" s="539"/>
      <c r="E87" s="353">
        <v>2000000</v>
      </c>
      <c r="F87" s="353">
        <v>2000000</v>
      </c>
      <c r="G87" s="353">
        <v>0</v>
      </c>
      <c r="H87" s="353"/>
      <c r="I87" s="353"/>
      <c r="J87" s="353"/>
      <c r="K87" s="353"/>
      <c r="L87" s="353"/>
      <c r="M87" s="353"/>
      <c r="N87" s="353">
        <f>F87-M87</f>
        <v>2000000</v>
      </c>
      <c r="O87" s="353">
        <f>M87*100/F87</f>
        <v>0</v>
      </c>
      <c r="P87" s="377" t="s">
        <v>492</v>
      </c>
    </row>
    <row r="88" spans="1:16" s="382" customFormat="1" ht="37.5" x14ac:dyDescent="0.35">
      <c r="A88" s="566"/>
      <c r="B88" s="567"/>
      <c r="C88" s="391" t="s">
        <v>680</v>
      </c>
      <c r="D88" s="392"/>
      <c r="E88" s="374">
        <v>100000</v>
      </c>
      <c r="F88" s="374">
        <v>100000</v>
      </c>
      <c r="G88" s="374">
        <v>0</v>
      </c>
      <c r="H88" s="374"/>
      <c r="I88" s="374"/>
      <c r="J88" s="374"/>
      <c r="K88" s="374"/>
      <c r="L88" s="374"/>
      <c r="M88" s="374"/>
      <c r="N88" s="353">
        <f>F88-M88</f>
        <v>100000</v>
      </c>
      <c r="O88" s="353">
        <f>M88*100/F88</f>
        <v>0</v>
      </c>
      <c r="P88" s="367" t="s">
        <v>492</v>
      </c>
    </row>
    <row r="89" spans="1:16" ht="21" x14ac:dyDescent="0.3">
      <c r="A89" s="535" t="s">
        <v>496</v>
      </c>
      <c r="B89" s="536"/>
      <c r="C89" s="536"/>
      <c r="D89" s="537"/>
      <c r="E89" s="266">
        <f>E90+E130</f>
        <v>11829600</v>
      </c>
      <c r="F89" s="266">
        <f>F90+F130</f>
        <v>3452000</v>
      </c>
      <c r="G89" s="266">
        <f>G90+G130</f>
        <v>8377600</v>
      </c>
      <c r="H89" s="266"/>
      <c r="I89" s="266"/>
      <c r="J89" s="266"/>
      <c r="K89" s="266">
        <f>K90+K130</f>
        <v>842300</v>
      </c>
      <c r="L89" s="266">
        <f>L90+L130</f>
        <v>7535300</v>
      </c>
      <c r="M89" s="266">
        <f>M90+M130</f>
        <v>66000</v>
      </c>
      <c r="N89" s="266">
        <f>N90+N130</f>
        <v>12623600</v>
      </c>
      <c r="O89" s="329">
        <f>M89*100/E89</f>
        <v>0.55792249949279771</v>
      </c>
      <c r="P89" s="294"/>
    </row>
    <row r="90" spans="1:16" s="261" customFormat="1" ht="21" x14ac:dyDescent="0.35">
      <c r="A90" s="267"/>
      <c r="B90" s="529" t="s">
        <v>497</v>
      </c>
      <c r="C90" s="529"/>
      <c r="D90" s="530"/>
      <c r="E90" s="243">
        <f>F90+G90</f>
        <v>10829600</v>
      </c>
      <c r="F90" s="243">
        <f>F91</f>
        <v>2452000</v>
      </c>
      <c r="G90" s="243">
        <f>G91</f>
        <v>8377600</v>
      </c>
      <c r="H90" s="243"/>
      <c r="I90" s="243"/>
      <c r="J90" s="243"/>
      <c r="K90" s="243">
        <f>K91</f>
        <v>842300</v>
      </c>
      <c r="L90" s="243">
        <f>L91</f>
        <v>7535300</v>
      </c>
      <c r="M90" s="243">
        <f>M91</f>
        <v>66000</v>
      </c>
      <c r="N90" s="243">
        <f>N91</f>
        <v>11623600</v>
      </c>
      <c r="O90" s="393">
        <f>M90*100/E90</f>
        <v>0.6094407919036714</v>
      </c>
      <c r="P90" s="296"/>
    </row>
    <row r="91" spans="1:16" s="357" customFormat="1" ht="21" x14ac:dyDescent="0.35">
      <c r="A91" s="364"/>
      <c r="B91" s="365"/>
      <c r="C91" s="531" t="s">
        <v>498</v>
      </c>
      <c r="D91" s="532"/>
      <c r="E91" s="374">
        <f>F91+G91</f>
        <v>10829600</v>
      </c>
      <c r="F91" s="374">
        <f>F92+F97</f>
        <v>2452000</v>
      </c>
      <c r="G91" s="374">
        <f>G92+G97</f>
        <v>8377600</v>
      </c>
      <c r="H91" s="374"/>
      <c r="I91" s="374"/>
      <c r="J91" s="374"/>
      <c r="K91" s="374">
        <f>K92+K97</f>
        <v>842300</v>
      </c>
      <c r="L91" s="374">
        <f>L92+L97</f>
        <v>7535300</v>
      </c>
      <c r="M91" s="374">
        <f>M92+M97</f>
        <v>66000</v>
      </c>
      <c r="N91" s="374">
        <f>N92+N97</f>
        <v>11623600</v>
      </c>
      <c r="O91" s="375">
        <f>M91*100/E91</f>
        <v>0.6094407919036714</v>
      </c>
      <c r="P91" s="394"/>
    </row>
    <row r="92" spans="1:16" s="254" customFormat="1" ht="37.5" x14ac:dyDescent="0.35">
      <c r="A92" s="271"/>
      <c r="B92" s="272"/>
      <c r="C92" s="272"/>
      <c r="D92" s="350" t="s">
        <v>499</v>
      </c>
      <c r="E92" s="273">
        <f>F92+G92</f>
        <v>9126000</v>
      </c>
      <c r="F92" s="273">
        <f>F93</f>
        <v>1626000</v>
      </c>
      <c r="G92" s="273">
        <f>G94</f>
        <v>7500000</v>
      </c>
      <c r="H92" s="273"/>
      <c r="I92" s="273"/>
      <c r="J92" s="273"/>
      <c r="K92" s="273">
        <f>K94</f>
        <v>0</v>
      </c>
      <c r="L92" s="273">
        <f>L94</f>
        <v>7500000</v>
      </c>
      <c r="M92" s="97">
        <f>M93+M94</f>
        <v>0</v>
      </c>
      <c r="N92" s="97">
        <f>N93+N94</f>
        <v>9126000</v>
      </c>
      <c r="O92" s="273">
        <f>M92*100/E92</f>
        <v>0</v>
      </c>
      <c r="P92" s="292" t="s">
        <v>477</v>
      </c>
    </row>
    <row r="93" spans="1:16" s="254" customFormat="1" ht="21" x14ac:dyDescent="0.35">
      <c r="A93" s="271"/>
      <c r="B93" s="272"/>
      <c r="C93" s="272"/>
      <c r="D93" s="350" t="s">
        <v>83</v>
      </c>
      <c r="E93" s="273"/>
      <c r="F93" s="273">
        <v>1626000</v>
      </c>
      <c r="G93" s="273"/>
      <c r="H93" s="273"/>
      <c r="I93" s="273"/>
      <c r="J93" s="273"/>
      <c r="K93" s="273"/>
      <c r="L93" s="273"/>
      <c r="M93" s="97"/>
      <c r="N93" s="273">
        <f>F93-M93</f>
        <v>1626000</v>
      </c>
      <c r="O93" s="273">
        <f>M93*100/F93</f>
        <v>0</v>
      </c>
      <c r="P93" s="292"/>
    </row>
    <row r="94" spans="1:16" s="254" customFormat="1" ht="21" x14ac:dyDescent="0.35">
      <c r="A94" s="271"/>
      <c r="B94" s="272"/>
      <c r="C94" s="272"/>
      <c r="D94" s="350" t="s">
        <v>82</v>
      </c>
      <c r="E94" s="273"/>
      <c r="F94" s="273"/>
      <c r="G94" s="273">
        <f>SUM(G95:G96)</f>
        <v>7500000</v>
      </c>
      <c r="H94" s="273"/>
      <c r="I94" s="273"/>
      <c r="J94" s="273"/>
      <c r="K94" s="273">
        <f>SUM(K95:K96)</f>
        <v>0</v>
      </c>
      <c r="L94" s="273">
        <f>SUM(L95:L96)</f>
        <v>7500000</v>
      </c>
      <c r="M94" s="97">
        <f>M95+M96</f>
        <v>0</v>
      </c>
      <c r="N94" s="97">
        <f>N95+N96</f>
        <v>7500000</v>
      </c>
      <c r="O94" s="273">
        <f>M94*100/G94</f>
        <v>0</v>
      </c>
      <c r="P94" s="292"/>
    </row>
    <row r="95" spans="1:16" s="254" customFormat="1" ht="21" x14ac:dyDescent="0.35">
      <c r="A95" s="271"/>
      <c r="B95" s="272"/>
      <c r="C95" s="272"/>
      <c r="D95" s="350" t="s">
        <v>656</v>
      </c>
      <c r="E95" s="273"/>
      <c r="F95" s="273"/>
      <c r="G95" s="273">
        <v>3600000</v>
      </c>
      <c r="H95" s="273"/>
      <c r="I95" s="273"/>
      <c r="J95" s="273"/>
      <c r="K95" s="273"/>
      <c r="L95" s="273">
        <f>G95-K95</f>
        <v>3600000</v>
      </c>
      <c r="M95" s="97"/>
      <c r="N95" s="273">
        <f>G95-M95</f>
        <v>3600000</v>
      </c>
      <c r="O95" s="273">
        <f>M95*100/G95</f>
        <v>0</v>
      </c>
      <c r="P95" s="292"/>
    </row>
    <row r="96" spans="1:16" s="254" customFormat="1" ht="27" customHeight="1" x14ac:dyDescent="0.35">
      <c r="A96" s="271"/>
      <c r="B96" s="272"/>
      <c r="C96" s="272"/>
      <c r="D96" s="350" t="s">
        <v>679</v>
      </c>
      <c r="E96" s="273"/>
      <c r="F96" s="273"/>
      <c r="G96" s="273">
        <v>3900000</v>
      </c>
      <c r="H96" s="273"/>
      <c r="I96" s="273"/>
      <c r="J96" s="273"/>
      <c r="K96" s="273"/>
      <c r="L96" s="273">
        <f>G96-K96</f>
        <v>3900000</v>
      </c>
      <c r="M96" s="97"/>
      <c r="N96" s="273">
        <f>G96-M96</f>
        <v>3900000</v>
      </c>
      <c r="O96" s="273">
        <f>M96*100/G96</f>
        <v>0</v>
      </c>
      <c r="P96" s="292"/>
    </row>
    <row r="97" spans="1:16" ht="56.25" customHeight="1" x14ac:dyDescent="0.35">
      <c r="A97" s="263"/>
      <c r="B97" s="264"/>
      <c r="C97" s="264"/>
      <c r="D97" s="316" t="s">
        <v>500</v>
      </c>
      <c r="E97" s="273">
        <f>F97+G97</f>
        <v>1703600</v>
      </c>
      <c r="F97" s="273">
        <f>F98+G98</f>
        <v>826000</v>
      </c>
      <c r="G97" s="273">
        <f>G99</f>
        <v>877600</v>
      </c>
      <c r="H97" s="273"/>
      <c r="I97" s="273"/>
      <c r="J97" s="273"/>
      <c r="K97" s="273">
        <f>K99</f>
        <v>842300</v>
      </c>
      <c r="L97" s="273">
        <f>L99+L98</f>
        <v>35300</v>
      </c>
      <c r="M97" s="97">
        <f>M98+M99</f>
        <v>66000</v>
      </c>
      <c r="N97" s="97">
        <f>N98+N99</f>
        <v>2497600</v>
      </c>
      <c r="O97" s="317">
        <f>M97*100/E97</f>
        <v>3.8741488612350317</v>
      </c>
      <c r="P97" s="292" t="s">
        <v>501</v>
      </c>
    </row>
    <row r="98" spans="1:16" ht="24" customHeight="1" x14ac:dyDescent="0.35">
      <c r="A98" s="263"/>
      <c r="B98" s="264"/>
      <c r="C98" s="264"/>
      <c r="D98" s="316" t="s">
        <v>83</v>
      </c>
      <c r="E98" s="273"/>
      <c r="F98" s="273">
        <v>826000</v>
      </c>
      <c r="G98" s="273"/>
      <c r="H98" s="273"/>
      <c r="I98" s="273"/>
      <c r="J98" s="273"/>
      <c r="K98" s="273"/>
      <c r="L98" s="273"/>
      <c r="M98" s="97">
        <v>0</v>
      </c>
      <c r="N98" s="273">
        <f>F98-M98</f>
        <v>826000</v>
      </c>
      <c r="O98" s="273">
        <f>M98*100/F98</f>
        <v>0</v>
      </c>
      <c r="P98" s="292"/>
    </row>
    <row r="99" spans="1:16" ht="24" customHeight="1" x14ac:dyDescent="0.35">
      <c r="A99" s="263"/>
      <c r="B99" s="264"/>
      <c r="C99" s="264"/>
      <c r="D99" s="316" t="s">
        <v>82</v>
      </c>
      <c r="E99" s="273"/>
      <c r="F99" s="273"/>
      <c r="G99" s="273">
        <f>SUM(G100:G128)</f>
        <v>877600</v>
      </c>
      <c r="H99" s="273"/>
      <c r="I99" s="273"/>
      <c r="J99" s="273"/>
      <c r="K99" s="273">
        <f>SUM(K100:K128)</f>
        <v>842300</v>
      </c>
      <c r="L99" s="273">
        <f>SUM(L100:L128)</f>
        <v>35300</v>
      </c>
      <c r="M99" s="97">
        <f>M100+M101+M102+M103+M104+M105+M106+M107+M108+M109+M110+M111+M112+M113+M114+M115+M116+M117+M118+M119+M120+M121+M122+M123+M124+M125+M126+M127+M128+M129</f>
        <v>66000</v>
      </c>
      <c r="N99" s="97">
        <f>N100+N101+N102+N103+N104+N105+N106+N107+N108+N109+N110+N111+N112+N113+N114+N115+N116+N117+N118+N119+N120+N121+N122+N123+N124+N125+N126+N127+N128+N129</f>
        <v>1671600</v>
      </c>
      <c r="O99" s="342">
        <f t="shared" ref="O99:O129" si="14">M99*100/G99</f>
        <v>7.5205104831358254</v>
      </c>
      <c r="P99" s="292"/>
    </row>
    <row r="100" spans="1:16" ht="34.5" x14ac:dyDescent="0.35">
      <c r="A100" s="263"/>
      <c r="B100" s="264"/>
      <c r="C100" s="264"/>
      <c r="D100" s="326" t="s">
        <v>657</v>
      </c>
      <c r="E100" s="273"/>
      <c r="F100" s="273"/>
      <c r="G100" s="273">
        <v>40000</v>
      </c>
      <c r="H100" s="273"/>
      <c r="I100" s="444" t="s">
        <v>765</v>
      </c>
      <c r="J100" s="348" t="s">
        <v>697</v>
      </c>
      <c r="K100" s="273">
        <v>40000</v>
      </c>
      <c r="L100" s="273">
        <f>G100-K100</f>
        <v>0</v>
      </c>
      <c r="M100" s="97"/>
      <c r="N100" s="273">
        <f t="shared" ref="N100:N129" si="15">G100-M100</f>
        <v>40000</v>
      </c>
      <c r="O100" s="342">
        <f t="shared" si="14"/>
        <v>0</v>
      </c>
      <c r="P100" s="292"/>
    </row>
    <row r="101" spans="1:16" ht="34.5" x14ac:dyDescent="0.35">
      <c r="A101" s="263"/>
      <c r="B101" s="264"/>
      <c r="C101" s="264"/>
      <c r="D101" s="326" t="s">
        <v>658</v>
      </c>
      <c r="E101" s="273"/>
      <c r="F101" s="273"/>
      <c r="G101" s="273">
        <v>30000</v>
      </c>
      <c r="H101" s="273"/>
      <c r="I101" s="444" t="s">
        <v>765</v>
      </c>
      <c r="J101" s="348" t="s">
        <v>697</v>
      </c>
      <c r="K101" s="273">
        <v>30000</v>
      </c>
      <c r="L101" s="273">
        <f t="shared" ref="L101:L129" si="16">G101-K101</f>
        <v>0</v>
      </c>
      <c r="M101" s="97"/>
      <c r="N101" s="273">
        <f t="shared" si="15"/>
        <v>30000</v>
      </c>
      <c r="O101" s="342">
        <f t="shared" si="14"/>
        <v>0</v>
      </c>
      <c r="P101" s="292"/>
    </row>
    <row r="102" spans="1:16" ht="42" x14ac:dyDescent="0.35">
      <c r="A102" s="263"/>
      <c r="B102" s="264"/>
      <c r="C102" s="264"/>
      <c r="D102" s="326" t="s">
        <v>659</v>
      </c>
      <c r="E102" s="273"/>
      <c r="F102" s="273"/>
      <c r="G102" s="273">
        <v>10000</v>
      </c>
      <c r="H102" s="273"/>
      <c r="I102" s="441" t="s">
        <v>761</v>
      </c>
      <c r="J102" s="348" t="s">
        <v>697</v>
      </c>
      <c r="K102" s="273">
        <v>10000</v>
      </c>
      <c r="L102" s="273">
        <f t="shared" si="16"/>
        <v>0</v>
      </c>
      <c r="M102" s="97"/>
      <c r="N102" s="273">
        <f t="shared" si="15"/>
        <v>10000</v>
      </c>
      <c r="O102" s="342">
        <f t="shared" si="14"/>
        <v>0</v>
      </c>
      <c r="P102" s="292"/>
    </row>
    <row r="103" spans="1:16" ht="42" x14ac:dyDescent="0.35">
      <c r="A103" s="263"/>
      <c r="B103" s="264"/>
      <c r="C103" s="264"/>
      <c r="D103" s="326" t="s">
        <v>660</v>
      </c>
      <c r="E103" s="273"/>
      <c r="F103" s="273"/>
      <c r="G103" s="273">
        <v>20600</v>
      </c>
      <c r="H103" s="273"/>
      <c r="I103" s="444" t="s">
        <v>765</v>
      </c>
      <c r="J103" s="348" t="s">
        <v>697</v>
      </c>
      <c r="K103" s="273">
        <v>20400</v>
      </c>
      <c r="L103" s="273">
        <f t="shared" si="16"/>
        <v>200</v>
      </c>
      <c r="M103" s="97"/>
      <c r="N103" s="273">
        <f t="shared" si="15"/>
        <v>20600</v>
      </c>
      <c r="O103" s="342">
        <f t="shared" si="14"/>
        <v>0</v>
      </c>
      <c r="P103" s="292"/>
    </row>
    <row r="104" spans="1:16" ht="42" x14ac:dyDescent="0.35">
      <c r="A104" s="263"/>
      <c r="B104" s="264"/>
      <c r="C104" s="264"/>
      <c r="D104" s="326" t="s">
        <v>661</v>
      </c>
      <c r="E104" s="273"/>
      <c r="F104" s="273"/>
      <c r="G104" s="273">
        <v>18000</v>
      </c>
      <c r="H104" s="273"/>
      <c r="I104" s="444" t="s">
        <v>765</v>
      </c>
      <c r="J104" s="348" t="s">
        <v>697</v>
      </c>
      <c r="K104" s="273">
        <v>18000</v>
      </c>
      <c r="L104" s="273">
        <f t="shared" si="16"/>
        <v>0</v>
      </c>
      <c r="M104" s="97"/>
      <c r="N104" s="273">
        <f t="shared" si="15"/>
        <v>18000</v>
      </c>
      <c r="O104" s="342">
        <f t="shared" si="14"/>
        <v>0</v>
      </c>
      <c r="P104" s="292"/>
    </row>
    <row r="105" spans="1:16" ht="37.5" x14ac:dyDescent="0.35">
      <c r="A105" s="263"/>
      <c r="B105" s="264"/>
      <c r="C105" s="264"/>
      <c r="D105" s="326" t="s">
        <v>662</v>
      </c>
      <c r="E105" s="273"/>
      <c r="F105" s="273"/>
      <c r="G105" s="273">
        <v>16000</v>
      </c>
      <c r="H105" s="273"/>
      <c r="I105" s="441" t="s">
        <v>761</v>
      </c>
      <c r="J105" s="348" t="s">
        <v>697</v>
      </c>
      <c r="K105" s="273">
        <v>16000</v>
      </c>
      <c r="L105" s="273">
        <f t="shared" si="16"/>
        <v>0</v>
      </c>
      <c r="M105" s="97"/>
      <c r="N105" s="273">
        <f t="shared" si="15"/>
        <v>16000</v>
      </c>
      <c r="O105" s="342">
        <f t="shared" si="14"/>
        <v>0</v>
      </c>
      <c r="P105" s="292"/>
    </row>
    <row r="106" spans="1:16" ht="37.5" x14ac:dyDescent="0.35">
      <c r="A106" s="263"/>
      <c r="B106" s="264"/>
      <c r="C106" s="264"/>
      <c r="D106" s="326" t="s">
        <v>663</v>
      </c>
      <c r="E106" s="273"/>
      <c r="F106" s="273"/>
      <c r="G106" s="273">
        <v>24000</v>
      </c>
      <c r="H106" s="273"/>
      <c r="I106" s="441" t="s">
        <v>761</v>
      </c>
      <c r="J106" s="348" t="s">
        <v>697</v>
      </c>
      <c r="K106" s="273">
        <v>24000</v>
      </c>
      <c r="L106" s="273">
        <f t="shared" si="16"/>
        <v>0</v>
      </c>
      <c r="M106" s="97"/>
      <c r="N106" s="273">
        <f t="shared" si="15"/>
        <v>24000</v>
      </c>
      <c r="O106" s="342">
        <f t="shared" si="14"/>
        <v>0</v>
      </c>
      <c r="P106" s="292"/>
    </row>
    <row r="107" spans="1:16" ht="37.5" x14ac:dyDescent="0.35">
      <c r="A107" s="263"/>
      <c r="B107" s="264"/>
      <c r="C107" s="264"/>
      <c r="D107" s="326" t="s">
        <v>664</v>
      </c>
      <c r="E107" s="273"/>
      <c r="F107" s="273"/>
      <c r="G107" s="273">
        <v>40000</v>
      </c>
      <c r="H107" s="273"/>
      <c r="I107" s="441" t="s">
        <v>761</v>
      </c>
      <c r="J107" s="348" t="s">
        <v>697</v>
      </c>
      <c r="K107" s="273">
        <v>40000</v>
      </c>
      <c r="L107" s="273">
        <f t="shared" si="16"/>
        <v>0</v>
      </c>
      <c r="M107" s="97"/>
      <c r="N107" s="273">
        <f t="shared" si="15"/>
        <v>40000</v>
      </c>
      <c r="O107" s="342">
        <f t="shared" si="14"/>
        <v>0</v>
      </c>
      <c r="P107" s="292"/>
    </row>
    <row r="108" spans="1:16" ht="37.5" x14ac:dyDescent="0.35">
      <c r="A108" s="263"/>
      <c r="B108" s="264"/>
      <c r="C108" s="264"/>
      <c r="D108" s="326" t="s">
        <v>665</v>
      </c>
      <c r="E108" s="273"/>
      <c r="F108" s="273"/>
      <c r="G108" s="273">
        <v>90000</v>
      </c>
      <c r="H108" s="273"/>
      <c r="I108" s="441" t="s">
        <v>761</v>
      </c>
      <c r="J108" s="348" t="s">
        <v>697</v>
      </c>
      <c r="K108" s="273">
        <v>90000</v>
      </c>
      <c r="L108" s="273">
        <f t="shared" si="16"/>
        <v>0</v>
      </c>
      <c r="M108" s="97"/>
      <c r="N108" s="273">
        <f t="shared" si="15"/>
        <v>90000</v>
      </c>
      <c r="O108" s="342">
        <f t="shared" si="14"/>
        <v>0</v>
      </c>
      <c r="P108" s="292"/>
    </row>
    <row r="109" spans="1:16" ht="34.5" x14ac:dyDescent="0.35">
      <c r="A109" s="463"/>
      <c r="B109" s="464"/>
      <c r="C109" s="464"/>
      <c r="D109" s="247" t="s">
        <v>666</v>
      </c>
      <c r="E109" s="273"/>
      <c r="F109" s="273"/>
      <c r="G109" s="273">
        <v>34000</v>
      </c>
      <c r="H109" s="352" t="s">
        <v>400</v>
      </c>
      <c r="I109" s="352" t="s">
        <v>705</v>
      </c>
      <c r="J109" s="348" t="s">
        <v>697</v>
      </c>
      <c r="K109" s="273"/>
      <c r="L109" s="273">
        <f t="shared" si="16"/>
        <v>34000</v>
      </c>
      <c r="M109" s="97">
        <v>34000</v>
      </c>
      <c r="N109" s="273">
        <f t="shared" si="15"/>
        <v>0</v>
      </c>
      <c r="O109" s="342">
        <f t="shared" si="14"/>
        <v>100</v>
      </c>
      <c r="P109" s="292"/>
    </row>
    <row r="110" spans="1:16" ht="34.5" x14ac:dyDescent="0.35">
      <c r="A110" s="263"/>
      <c r="B110" s="264"/>
      <c r="C110" s="264"/>
      <c r="D110" s="326" t="s">
        <v>667</v>
      </c>
      <c r="E110" s="273"/>
      <c r="F110" s="273"/>
      <c r="G110" s="273">
        <v>112500</v>
      </c>
      <c r="H110" s="273"/>
      <c r="I110" s="444" t="s">
        <v>765</v>
      </c>
      <c r="J110" s="348" t="s">
        <v>697</v>
      </c>
      <c r="K110" s="273">
        <v>112500</v>
      </c>
      <c r="L110" s="273">
        <f t="shared" si="16"/>
        <v>0</v>
      </c>
      <c r="M110" s="97">
        <v>0</v>
      </c>
      <c r="N110" s="273">
        <f t="shared" si="15"/>
        <v>112500</v>
      </c>
      <c r="O110" s="342">
        <f t="shared" si="14"/>
        <v>0</v>
      </c>
      <c r="P110" s="292"/>
    </row>
    <row r="111" spans="1:16" ht="56.25" x14ac:dyDescent="0.35">
      <c r="A111" s="263"/>
      <c r="B111" s="264"/>
      <c r="C111" s="264"/>
      <c r="D111" s="326" t="s">
        <v>668</v>
      </c>
      <c r="E111" s="273"/>
      <c r="F111" s="273"/>
      <c r="G111" s="273">
        <v>74000</v>
      </c>
      <c r="H111" s="273"/>
      <c r="I111" s="441" t="s">
        <v>766</v>
      </c>
      <c r="J111" s="348" t="s">
        <v>697</v>
      </c>
      <c r="K111" s="273">
        <v>74000</v>
      </c>
      <c r="L111" s="273">
        <f t="shared" si="16"/>
        <v>0</v>
      </c>
      <c r="M111" s="97"/>
      <c r="N111" s="273">
        <f t="shared" si="15"/>
        <v>74000</v>
      </c>
      <c r="O111" s="342">
        <f t="shared" si="14"/>
        <v>0</v>
      </c>
      <c r="P111" s="292"/>
    </row>
    <row r="112" spans="1:16" ht="34.5" x14ac:dyDescent="0.35">
      <c r="A112" s="263"/>
      <c r="B112" s="264"/>
      <c r="C112" s="264"/>
      <c r="D112" s="326" t="s">
        <v>669</v>
      </c>
      <c r="E112" s="273"/>
      <c r="F112" s="273"/>
      <c r="G112" s="273">
        <v>30000</v>
      </c>
      <c r="H112" s="273"/>
      <c r="I112" s="444" t="s">
        <v>765</v>
      </c>
      <c r="J112" s="348" t="s">
        <v>697</v>
      </c>
      <c r="K112" s="273">
        <v>30000</v>
      </c>
      <c r="L112" s="273">
        <f t="shared" si="16"/>
        <v>0</v>
      </c>
      <c r="M112" s="97"/>
      <c r="N112" s="273">
        <f t="shared" si="15"/>
        <v>30000</v>
      </c>
      <c r="O112" s="342">
        <f t="shared" si="14"/>
        <v>0</v>
      </c>
      <c r="P112" s="292"/>
    </row>
    <row r="113" spans="1:16" ht="34.5" x14ac:dyDescent="0.35">
      <c r="A113" s="263"/>
      <c r="B113" s="264"/>
      <c r="C113" s="264"/>
      <c r="D113" s="326" t="s">
        <v>670</v>
      </c>
      <c r="E113" s="273"/>
      <c r="F113" s="273"/>
      <c r="G113" s="273">
        <v>40000</v>
      </c>
      <c r="H113" s="273"/>
      <c r="I113" s="444" t="s">
        <v>765</v>
      </c>
      <c r="J113" s="348" t="s">
        <v>697</v>
      </c>
      <c r="K113" s="273">
        <v>40000</v>
      </c>
      <c r="L113" s="273">
        <f t="shared" si="16"/>
        <v>0</v>
      </c>
      <c r="M113" s="97"/>
      <c r="N113" s="273">
        <f t="shared" si="15"/>
        <v>40000</v>
      </c>
      <c r="O113" s="342">
        <f t="shared" si="14"/>
        <v>0</v>
      </c>
      <c r="P113" s="292"/>
    </row>
    <row r="114" spans="1:16" ht="42" x14ac:dyDescent="0.35">
      <c r="A114" s="263"/>
      <c r="B114" s="264"/>
      <c r="C114" s="264"/>
      <c r="D114" s="326" t="s">
        <v>673</v>
      </c>
      <c r="E114" s="273"/>
      <c r="F114" s="273"/>
      <c r="G114" s="273">
        <v>15000</v>
      </c>
      <c r="H114" s="273"/>
      <c r="I114" s="444" t="s">
        <v>765</v>
      </c>
      <c r="J114" s="348" t="s">
        <v>697</v>
      </c>
      <c r="K114" s="273">
        <v>14800</v>
      </c>
      <c r="L114" s="273">
        <f t="shared" si="16"/>
        <v>200</v>
      </c>
      <c r="M114" s="97"/>
      <c r="N114" s="273">
        <f t="shared" si="15"/>
        <v>15000</v>
      </c>
      <c r="O114" s="342">
        <f t="shared" si="14"/>
        <v>0</v>
      </c>
      <c r="P114" s="292"/>
    </row>
    <row r="115" spans="1:16" ht="42" x14ac:dyDescent="0.35">
      <c r="A115" s="263"/>
      <c r="B115" s="264"/>
      <c r="C115" s="264"/>
      <c r="D115" s="326" t="s">
        <v>671</v>
      </c>
      <c r="E115" s="273"/>
      <c r="F115" s="273"/>
      <c r="G115" s="273">
        <v>40000</v>
      </c>
      <c r="H115" s="273"/>
      <c r="I115" s="444" t="s">
        <v>765</v>
      </c>
      <c r="J115" s="348" t="s">
        <v>697</v>
      </c>
      <c r="K115" s="273">
        <v>40000</v>
      </c>
      <c r="L115" s="273">
        <f t="shared" si="16"/>
        <v>0</v>
      </c>
      <c r="M115" s="97"/>
      <c r="N115" s="273">
        <f t="shared" si="15"/>
        <v>40000</v>
      </c>
      <c r="O115" s="342">
        <f t="shared" si="14"/>
        <v>0</v>
      </c>
      <c r="P115" s="292"/>
    </row>
    <row r="116" spans="1:16" ht="42" x14ac:dyDescent="0.35">
      <c r="A116" s="263"/>
      <c r="B116" s="264"/>
      <c r="C116" s="264"/>
      <c r="D116" s="326" t="s">
        <v>672</v>
      </c>
      <c r="E116" s="273"/>
      <c r="F116" s="273"/>
      <c r="G116" s="273">
        <v>8000</v>
      </c>
      <c r="H116" s="273"/>
      <c r="I116" s="441" t="s">
        <v>761</v>
      </c>
      <c r="J116" s="348" t="s">
        <v>697</v>
      </c>
      <c r="K116" s="273">
        <v>8000</v>
      </c>
      <c r="L116" s="273">
        <f t="shared" si="16"/>
        <v>0</v>
      </c>
      <c r="M116" s="97"/>
      <c r="N116" s="273">
        <f t="shared" si="15"/>
        <v>8000</v>
      </c>
      <c r="O116" s="342">
        <f t="shared" si="14"/>
        <v>0</v>
      </c>
      <c r="P116" s="292"/>
    </row>
    <row r="117" spans="1:16" ht="34.5" x14ac:dyDescent="0.35">
      <c r="A117" s="263"/>
      <c r="B117" s="264"/>
      <c r="C117" s="264"/>
      <c r="D117" s="326" t="s">
        <v>674</v>
      </c>
      <c r="E117" s="273"/>
      <c r="F117" s="273"/>
      <c r="G117" s="273">
        <v>19000</v>
      </c>
      <c r="H117" s="273"/>
      <c r="I117" s="444" t="s">
        <v>765</v>
      </c>
      <c r="J117" s="348" t="s">
        <v>697</v>
      </c>
      <c r="K117" s="273">
        <v>19000</v>
      </c>
      <c r="L117" s="273">
        <f t="shared" si="16"/>
        <v>0</v>
      </c>
      <c r="M117" s="97"/>
      <c r="N117" s="273">
        <f t="shared" si="15"/>
        <v>19000</v>
      </c>
      <c r="O117" s="342">
        <f t="shared" si="14"/>
        <v>0</v>
      </c>
      <c r="P117" s="292"/>
    </row>
    <row r="118" spans="1:16" ht="56.25" x14ac:dyDescent="0.35">
      <c r="A118" s="263"/>
      <c r="B118" s="264"/>
      <c r="C118" s="264"/>
      <c r="D118" s="326" t="s">
        <v>675</v>
      </c>
      <c r="E118" s="273"/>
      <c r="F118" s="273"/>
      <c r="G118" s="273">
        <v>6500</v>
      </c>
      <c r="H118" s="273"/>
      <c r="I118" s="441" t="s">
        <v>766</v>
      </c>
      <c r="J118" s="348" t="s">
        <v>697</v>
      </c>
      <c r="K118" s="273">
        <v>5600</v>
      </c>
      <c r="L118" s="273">
        <f t="shared" si="16"/>
        <v>900</v>
      </c>
      <c r="M118" s="97"/>
      <c r="N118" s="273">
        <f t="shared" si="15"/>
        <v>6500</v>
      </c>
      <c r="O118" s="342">
        <f t="shared" si="14"/>
        <v>0</v>
      </c>
      <c r="P118" s="292"/>
    </row>
    <row r="119" spans="1:16" ht="56.25" x14ac:dyDescent="0.35">
      <c r="A119" s="263"/>
      <c r="B119" s="264"/>
      <c r="C119" s="264"/>
      <c r="D119" s="326" t="s">
        <v>676</v>
      </c>
      <c r="E119" s="273"/>
      <c r="F119" s="273"/>
      <c r="G119" s="273">
        <v>7500</v>
      </c>
      <c r="H119" s="445"/>
      <c r="I119" s="441" t="s">
        <v>766</v>
      </c>
      <c r="J119" s="348" t="s">
        <v>697</v>
      </c>
      <c r="K119" s="273">
        <v>7500</v>
      </c>
      <c r="L119" s="273">
        <f t="shared" si="16"/>
        <v>0</v>
      </c>
      <c r="M119" s="97"/>
      <c r="N119" s="273">
        <f t="shared" si="15"/>
        <v>7500</v>
      </c>
      <c r="O119" s="342">
        <f t="shared" si="14"/>
        <v>0</v>
      </c>
      <c r="P119" s="292"/>
    </row>
    <row r="120" spans="1:16" ht="56.25" x14ac:dyDescent="0.35">
      <c r="A120" s="263"/>
      <c r="B120" s="264"/>
      <c r="C120" s="264"/>
      <c r="D120" s="326" t="s">
        <v>677</v>
      </c>
      <c r="E120" s="273"/>
      <c r="F120" s="273"/>
      <c r="G120" s="273">
        <v>90000</v>
      </c>
      <c r="H120" s="273"/>
      <c r="I120" s="441" t="s">
        <v>766</v>
      </c>
      <c r="J120" s="348" t="s">
        <v>697</v>
      </c>
      <c r="K120" s="273">
        <v>90000</v>
      </c>
      <c r="L120" s="273">
        <f t="shared" si="16"/>
        <v>0</v>
      </c>
      <c r="M120" s="97"/>
      <c r="N120" s="273">
        <f t="shared" si="15"/>
        <v>90000</v>
      </c>
      <c r="O120" s="342">
        <f t="shared" si="14"/>
        <v>0</v>
      </c>
      <c r="P120" s="292"/>
    </row>
    <row r="121" spans="1:16" ht="34.5" x14ac:dyDescent="0.35">
      <c r="A121" s="263"/>
      <c r="B121" s="264"/>
      <c r="C121" s="264"/>
      <c r="D121" s="316" t="s">
        <v>625</v>
      </c>
      <c r="E121" s="273"/>
      <c r="F121" s="273"/>
      <c r="G121" s="273">
        <v>32000</v>
      </c>
      <c r="H121" s="352" t="s">
        <v>400</v>
      </c>
      <c r="I121" s="444" t="s">
        <v>705</v>
      </c>
      <c r="J121" s="348" t="s">
        <v>697</v>
      </c>
      <c r="K121" s="273">
        <v>32000</v>
      </c>
      <c r="L121" s="273">
        <f t="shared" si="16"/>
        <v>0</v>
      </c>
      <c r="M121" s="97">
        <v>32000</v>
      </c>
      <c r="N121" s="273">
        <f t="shared" si="15"/>
        <v>0</v>
      </c>
      <c r="O121" s="342">
        <f t="shared" si="14"/>
        <v>100</v>
      </c>
      <c r="P121" s="292"/>
    </row>
    <row r="122" spans="1:16" ht="34.5" x14ac:dyDescent="0.35">
      <c r="A122" s="263"/>
      <c r="B122" s="264"/>
      <c r="C122" s="264"/>
      <c r="D122" s="316" t="s">
        <v>626</v>
      </c>
      <c r="E122" s="273"/>
      <c r="F122" s="273"/>
      <c r="G122" s="273">
        <v>34000</v>
      </c>
      <c r="H122" s="273"/>
      <c r="I122" s="444" t="s">
        <v>705</v>
      </c>
      <c r="J122" s="348" t="s">
        <v>697</v>
      </c>
      <c r="K122" s="273">
        <v>34000</v>
      </c>
      <c r="L122" s="273">
        <f t="shared" si="16"/>
        <v>0</v>
      </c>
      <c r="M122" s="97"/>
      <c r="N122" s="273">
        <f t="shared" si="15"/>
        <v>34000</v>
      </c>
      <c r="O122" s="342">
        <f t="shared" si="14"/>
        <v>0</v>
      </c>
      <c r="P122" s="292"/>
    </row>
    <row r="123" spans="1:16" ht="37.5" x14ac:dyDescent="0.35">
      <c r="A123" s="263"/>
      <c r="B123" s="264"/>
      <c r="C123" s="264"/>
      <c r="D123" s="316" t="s">
        <v>627</v>
      </c>
      <c r="E123" s="273"/>
      <c r="F123" s="273"/>
      <c r="G123" s="273">
        <v>5000</v>
      </c>
      <c r="H123" s="273"/>
      <c r="I123" s="441" t="s">
        <v>761</v>
      </c>
      <c r="J123" s="348" t="s">
        <v>697</v>
      </c>
      <c r="K123" s="273">
        <v>5000</v>
      </c>
      <c r="L123" s="273">
        <f t="shared" si="16"/>
        <v>0</v>
      </c>
      <c r="M123" s="97"/>
      <c r="N123" s="273">
        <f t="shared" si="15"/>
        <v>5000</v>
      </c>
      <c r="O123" s="342">
        <f t="shared" si="14"/>
        <v>0</v>
      </c>
      <c r="P123" s="292"/>
    </row>
    <row r="124" spans="1:16" ht="37.5" x14ac:dyDescent="0.35">
      <c r="A124" s="263"/>
      <c r="B124" s="264"/>
      <c r="C124" s="264"/>
      <c r="D124" s="316" t="s">
        <v>628</v>
      </c>
      <c r="E124" s="273"/>
      <c r="F124" s="273"/>
      <c r="G124" s="273">
        <v>4500</v>
      </c>
      <c r="H124" s="273"/>
      <c r="I124" s="441" t="s">
        <v>761</v>
      </c>
      <c r="J124" s="348" t="s">
        <v>697</v>
      </c>
      <c r="K124" s="273">
        <v>4500</v>
      </c>
      <c r="L124" s="273">
        <f t="shared" si="16"/>
        <v>0</v>
      </c>
      <c r="M124" s="97"/>
      <c r="N124" s="273">
        <f t="shared" si="15"/>
        <v>4500</v>
      </c>
      <c r="O124" s="342">
        <f t="shared" si="14"/>
        <v>0</v>
      </c>
      <c r="P124" s="292"/>
    </row>
    <row r="125" spans="1:16" ht="37.5" x14ac:dyDescent="0.35">
      <c r="A125" s="463"/>
      <c r="B125" s="464"/>
      <c r="C125" s="464"/>
      <c r="D125" s="247" t="s">
        <v>629</v>
      </c>
      <c r="E125" s="273"/>
      <c r="F125" s="273"/>
      <c r="G125" s="273">
        <v>5000</v>
      </c>
      <c r="H125" s="273"/>
      <c r="I125" s="441" t="s">
        <v>761</v>
      </c>
      <c r="J125" s="348" t="s">
        <v>697</v>
      </c>
      <c r="K125" s="273">
        <v>5000</v>
      </c>
      <c r="L125" s="273">
        <f t="shared" si="16"/>
        <v>0</v>
      </c>
      <c r="M125" s="97"/>
      <c r="N125" s="273">
        <f t="shared" si="15"/>
        <v>5000</v>
      </c>
      <c r="O125" s="342">
        <f t="shared" si="14"/>
        <v>0</v>
      </c>
      <c r="P125" s="292"/>
    </row>
    <row r="126" spans="1:16" ht="37.5" x14ac:dyDescent="0.35">
      <c r="A126" s="263"/>
      <c r="B126" s="264"/>
      <c r="C126" s="264"/>
      <c r="D126" s="316" t="s">
        <v>630</v>
      </c>
      <c r="E126" s="273"/>
      <c r="F126" s="273"/>
      <c r="G126" s="273">
        <v>7000</v>
      </c>
      <c r="H126" s="273"/>
      <c r="I126" s="441" t="s">
        <v>761</v>
      </c>
      <c r="J126" s="348" t="s">
        <v>697</v>
      </c>
      <c r="K126" s="273">
        <v>7000</v>
      </c>
      <c r="L126" s="273">
        <f t="shared" si="16"/>
        <v>0</v>
      </c>
      <c r="M126" s="97"/>
      <c r="N126" s="273">
        <f t="shared" si="15"/>
        <v>7000</v>
      </c>
      <c r="O126" s="342">
        <f t="shared" si="14"/>
        <v>0</v>
      </c>
      <c r="P126" s="292"/>
    </row>
    <row r="127" spans="1:16" ht="37.5" x14ac:dyDescent="0.35">
      <c r="A127" s="263"/>
      <c r="B127" s="264"/>
      <c r="C127" s="264"/>
      <c r="D127" s="316" t="s">
        <v>631</v>
      </c>
      <c r="E127" s="273"/>
      <c r="F127" s="273"/>
      <c r="G127" s="273">
        <v>9000</v>
      </c>
      <c r="H127" s="273"/>
      <c r="I127" s="441" t="s">
        <v>761</v>
      </c>
      <c r="J127" s="348" t="s">
        <v>697</v>
      </c>
      <c r="K127" s="273">
        <v>9000</v>
      </c>
      <c r="L127" s="273">
        <f t="shared" si="16"/>
        <v>0</v>
      </c>
      <c r="M127" s="97"/>
      <c r="N127" s="273">
        <f t="shared" si="15"/>
        <v>9000</v>
      </c>
      <c r="O127" s="342">
        <f t="shared" si="14"/>
        <v>0</v>
      </c>
      <c r="P127" s="292"/>
    </row>
    <row r="128" spans="1:16" ht="37.5" x14ac:dyDescent="0.35">
      <c r="A128" s="263"/>
      <c r="B128" s="264"/>
      <c r="C128" s="264"/>
      <c r="D128" s="316" t="s">
        <v>632</v>
      </c>
      <c r="E128" s="273"/>
      <c r="F128" s="273"/>
      <c r="G128" s="273">
        <v>16000</v>
      </c>
      <c r="H128" s="273"/>
      <c r="I128" s="441" t="s">
        <v>761</v>
      </c>
      <c r="J128" s="348" t="s">
        <v>697</v>
      </c>
      <c r="K128" s="273">
        <v>16000</v>
      </c>
      <c r="L128" s="273">
        <f t="shared" si="16"/>
        <v>0</v>
      </c>
      <c r="M128" s="97"/>
      <c r="N128" s="273">
        <f t="shared" si="15"/>
        <v>16000</v>
      </c>
      <c r="O128" s="342">
        <f t="shared" si="14"/>
        <v>0</v>
      </c>
      <c r="P128" s="292"/>
    </row>
    <row r="129" spans="1:23" ht="24" customHeight="1" x14ac:dyDescent="0.35">
      <c r="A129" s="263"/>
      <c r="B129" s="264"/>
      <c r="C129" s="264"/>
      <c r="D129" s="326" t="s">
        <v>678</v>
      </c>
      <c r="E129" s="273"/>
      <c r="F129" s="273"/>
      <c r="G129" s="273">
        <v>860000</v>
      </c>
      <c r="H129" s="273"/>
      <c r="I129" s="273"/>
      <c r="J129" s="348"/>
      <c r="K129" s="273"/>
      <c r="L129" s="273">
        <f t="shared" si="16"/>
        <v>860000</v>
      </c>
      <c r="M129" s="97"/>
      <c r="N129" s="273">
        <f t="shared" si="15"/>
        <v>860000</v>
      </c>
      <c r="O129" s="342">
        <f t="shared" si="14"/>
        <v>0</v>
      </c>
      <c r="P129" s="292"/>
    </row>
    <row r="130" spans="1:23" s="261" customFormat="1" ht="21" x14ac:dyDescent="0.35">
      <c r="A130" s="274"/>
      <c r="B130" s="560" t="s">
        <v>502</v>
      </c>
      <c r="C130" s="560"/>
      <c r="D130" s="561"/>
      <c r="E130" s="242">
        <f>E131</f>
        <v>1000000</v>
      </c>
      <c r="F130" s="242">
        <f>F131</f>
        <v>1000000</v>
      </c>
      <c r="G130" s="242">
        <f>G131</f>
        <v>0</v>
      </c>
      <c r="H130" s="242"/>
      <c r="I130" s="242"/>
      <c r="J130" s="242"/>
      <c r="K130" s="242">
        <f>K131</f>
        <v>0</v>
      </c>
      <c r="L130" s="242">
        <f>L131</f>
        <v>0</v>
      </c>
      <c r="M130" s="242">
        <f>M131</f>
        <v>0</v>
      </c>
      <c r="N130" s="242">
        <f>N131</f>
        <v>1000000</v>
      </c>
      <c r="O130" s="242">
        <f>M130*100/F130</f>
        <v>0</v>
      </c>
      <c r="P130" s="296"/>
    </row>
    <row r="131" spans="1:23" s="357" customFormat="1" ht="56.25" x14ac:dyDescent="0.35">
      <c r="A131" s="395"/>
      <c r="B131" s="396"/>
      <c r="C131" s="396"/>
      <c r="D131" s="397" t="s">
        <v>503</v>
      </c>
      <c r="E131" s="366">
        <v>1000000</v>
      </c>
      <c r="F131" s="366">
        <v>1000000</v>
      </c>
      <c r="G131" s="366">
        <v>0</v>
      </c>
      <c r="H131" s="366"/>
      <c r="I131" s="366"/>
      <c r="J131" s="366"/>
      <c r="K131" s="366"/>
      <c r="L131" s="366"/>
      <c r="M131" s="366"/>
      <c r="N131" s="366">
        <f>F131-M131</f>
        <v>1000000</v>
      </c>
      <c r="O131" s="366">
        <f>M131*100/F131</f>
        <v>0</v>
      </c>
      <c r="P131" s="367" t="s">
        <v>501</v>
      </c>
      <c r="Q131" s="412"/>
    </row>
    <row r="132" spans="1:23" ht="47.25" customHeight="1" x14ac:dyDescent="0.35">
      <c r="A132" s="562" t="s">
        <v>619</v>
      </c>
      <c r="B132" s="563"/>
      <c r="C132" s="563"/>
      <c r="D132" s="564"/>
      <c r="E132" s="277">
        <f>E133+E136+E137+E138+E139+E140+E141+E142+E143+E144</f>
        <v>119937000</v>
      </c>
      <c r="F132" s="277"/>
      <c r="G132" s="277">
        <f>G133+G136+G137+G138+G139+G140+G141+G142+G143+G144</f>
        <v>119937000</v>
      </c>
      <c r="H132" s="277"/>
      <c r="I132" s="277"/>
      <c r="J132" s="277"/>
      <c r="K132" s="277">
        <f>K133+K136+K137+K138+K139+K140+K141+K142+K143+K144</f>
        <v>79864981</v>
      </c>
      <c r="L132" s="277">
        <f>L133+L136+L137+L138+L139+L140+L141+L142+L143+L144</f>
        <v>40072019</v>
      </c>
      <c r="M132" s="277">
        <f>M133+M136+M137+M138+M139+M140+M141+M142+M143+M144</f>
        <v>0</v>
      </c>
      <c r="N132" s="277">
        <f>N133+N136+N137+N138+N139+N140+N141+N142+N143+N144</f>
        <v>119937000</v>
      </c>
      <c r="O132" s="277">
        <f>M132*100/G132</f>
        <v>0</v>
      </c>
      <c r="P132" s="297"/>
    </row>
    <row r="133" spans="1:23" s="427" customFormat="1" ht="37.5" x14ac:dyDescent="0.3">
      <c r="A133" s="565" t="s">
        <v>504</v>
      </c>
      <c r="B133" s="565"/>
      <c r="C133" s="565"/>
      <c r="D133" s="565"/>
      <c r="E133" s="425">
        <f>E134+E135</f>
        <v>23000000</v>
      </c>
      <c r="F133" s="425"/>
      <c r="G133" s="425">
        <f>G134+G135</f>
        <v>23000000</v>
      </c>
      <c r="H133" s="425"/>
      <c r="I133" s="425"/>
      <c r="J133" s="425"/>
      <c r="K133" s="425">
        <f>K134+K135</f>
        <v>15900000</v>
      </c>
      <c r="L133" s="425">
        <f>L134+L135</f>
        <v>7100000</v>
      </c>
      <c r="M133" s="425">
        <f>M134+M135</f>
        <v>0</v>
      </c>
      <c r="N133" s="425">
        <f>N134+N135</f>
        <v>23000000</v>
      </c>
      <c r="O133" s="425">
        <f t="shared" ref="O133:O144" si="17">M133*100/E133</f>
        <v>0</v>
      </c>
      <c r="P133" s="426" t="s">
        <v>604</v>
      </c>
      <c r="Q133" s="412"/>
      <c r="R133" s="412"/>
      <c r="S133" s="412"/>
      <c r="T133" s="412"/>
      <c r="U133" s="412"/>
      <c r="V133" s="412"/>
      <c r="W133" s="412"/>
    </row>
    <row r="134" spans="1:23" s="357" customFormat="1" ht="27" customHeight="1" x14ac:dyDescent="0.35">
      <c r="A134" s="355"/>
      <c r="B134" s="533" t="s">
        <v>505</v>
      </c>
      <c r="C134" s="533"/>
      <c r="D134" s="534"/>
      <c r="E134" s="398">
        <f>G134</f>
        <v>7100000</v>
      </c>
      <c r="F134" s="398"/>
      <c r="G134" s="398">
        <v>7100000</v>
      </c>
      <c r="H134" s="398"/>
      <c r="I134" s="398"/>
      <c r="J134" s="398"/>
      <c r="K134" s="398"/>
      <c r="L134" s="398">
        <f>G134-K134</f>
        <v>7100000</v>
      </c>
      <c r="M134" s="398">
        <v>0</v>
      </c>
      <c r="N134" s="398">
        <f>E134-M134</f>
        <v>7100000</v>
      </c>
      <c r="O134" s="399">
        <f t="shared" si="17"/>
        <v>0</v>
      </c>
      <c r="P134" s="367"/>
      <c r="Q134" s="412"/>
      <c r="R134" s="412"/>
      <c r="S134" s="412"/>
      <c r="T134" s="412"/>
      <c r="U134" s="412"/>
      <c r="V134" s="412"/>
      <c r="W134" s="412"/>
    </row>
    <row r="135" spans="1:23" s="357" customFormat="1" ht="21" x14ac:dyDescent="0.35">
      <c r="A135" s="355"/>
      <c r="B135" s="533" t="s">
        <v>506</v>
      </c>
      <c r="C135" s="533"/>
      <c r="D135" s="534"/>
      <c r="E135" s="398">
        <f t="shared" ref="E135:E144" si="18">G135</f>
        <v>15900000</v>
      </c>
      <c r="F135" s="400"/>
      <c r="G135" s="400">
        <v>15900000</v>
      </c>
      <c r="H135" s="400"/>
      <c r="I135" s="400"/>
      <c r="J135" s="400"/>
      <c r="K135" s="400">
        <v>15900000</v>
      </c>
      <c r="L135" s="398">
        <f>G135-K135</f>
        <v>0</v>
      </c>
      <c r="M135" s="400">
        <v>0</v>
      </c>
      <c r="N135" s="398">
        <f>E135-M135</f>
        <v>15900000</v>
      </c>
      <c r="O135" s="399">
        <f t="shared" si="17"/>
        <v>0</v>
      </c>
      <c r="P135" s="367"/>
      <c r="Q135" s="412"/>
      <c r="R135" s="412"/>
      <c r="S135" s="412"/>
      <c r="T135" s="412"/>
      <c r="U135" s="412"/>
      <c r="V135" s="412"/>
      <c r="W135" s="412"/>
    </row>
    <row r="136" spans="1:23" s="431" customFormat="1" ht="42.75" customHeight="1" x14ac:dyDescent="0.3">
      <c r="A136" s="551" t="s">
        <v>567</v>
      </c>
      <c r="B136" s="552"/>
      <c r="C136" s="552"/>
      <c r="D136" s="553"/>
      <c r="E136" s="428">
        <f t="shared" si="18"/>
        <v>5000000</v>
      </c>
      <c r="F136" s="429"/>
      <c r="G136" s="429">
        <v>5000000</v>
      </c>
      <c r="H136" s="429"/>
      <c r="I136" s="429"/>
      <c r="J136" s="429"/>
      <c r="K136" s="429"/>
      <c r="L136" s="429">
        <f>G136-K136</f>
        <v>5000000</v>
      </c>
      <c r="M136" s="429">
        <v>0</v>
      </c>
      <c r="N136" s="429">
        <f t="shared" ref="N136:N144" si="19">G136-M136</f>
        <v>5000000</v>
      </c>
      <c r="O136" s="425">
        <f t="shared" si="17"/>
        <v>0</v>
      </c>
      <c r="P136" s="430" t="s">
        <v>31</v>
      </c>
      <c r="Q136" s="416"/>
      <c r="R136" s="416"/>
      <c r="S136" s="416"/>
      <c r="T136" s="416"/>
      <c r="U136" s="416"/>
      <c r="V136" s="416"/>
      <c r="W136" s="416"/>
    </row>
    <row r="137" spans="1:23" s="431" customFormat="1" ht="42" customHeight="1" x14ac:dyDescent="0.3">
      <c r="A137" s="551" t="s">
        <v>568</v>
      </c>
      <c r="B137" s="552"/>
      <c r="C137" s="552"/>
      <c r="D137" s="553"/>
      <c r="E137" s="428">
        <f t="shared" si="18"/>
        <v>5000000</v>
      </c>
      <c r="F137" s="429"/>
      <c r="G137" s="429">
        <v>5000000</v>
      </c>
      <c r="H137" s="429"/>
      <c r="I137" s="429"/>
      <c r="J137" s="429"/>
      <c r="K137" s="429"/>
      <c r="L137" s="429">
        <f t="shared" ref="L137:L144" si="20">G137-K137</f>
        <v>5000000</v>
      </c>
      <c r="M137" s="429">
        <v>0</v>
      </c>
      <c r="N137" s="429">
        <f t="shared" si="19"/>
        <v>5000000</v>
      </c>
      <c r="O137" s="425">
        <f t="shared" si="17"/>
        <v>0</v>
      </c>
      <c r="P137" s="430" t="s">
        <v>31</v>
      </c>
      <c r="Q137" s="416"/>
      <c r="R137" s="416"/>
      <c r="S137" s="416"/>
      <c r="T137" s="416"/>
      <c r="U137" s="416"/>
      <c r="V137" s="416"/>
      <c r="W137" s="416"/>
    </row>
    <row r="138" spans="1:23" s="431" customFormat="1" ht="38.25" customHeight="1" x14ac:dyDescent="0.3">
      <c r="A138" s="554" t="s">
        <v>507</v>
      </c>
      <c r="B138" s="554"/>
      <c r="C138" s="554"/>
      <c r="D138" s="554"/>
      <c r="E138" s="428">
        <f t="shared" si="18"/>
        <v>20000000</v>
      </c>
      <c r="F138" s="429"/>
      <c r="G138" s="429">
        <v>20000000</v>
      </c>
      <c r="H138" s="429"/>
      <c r="I138" s="440" t="s">
        <v>756</v>
      </c>
      <c r="J138" s="433" t="s">
        <v>755</v>
      </c>
      <c r="K138" s="429">
        <v>12427732</v>
      </c>
      <c r="L138" s="429">
        <f t="shared" si="20"/>
        <v>7572268</v>
      </c>
      <c r="M138" s="429">
        <v>0</v>
      </c>
      <c r="N138" s="429">
        <f t="shared" si="19"/>
        <v>20000000</v>
      </c>
      <c r="O138" s="425">
        <f t="shared" si="17"/>
        <v>0</v>
      </c>
      <c r="P138" s="430" t="s">
        <v>31</v>
      </c>
      <c r="Q138" s="416"/>
      <c r="R138" s="416"/>
      <c r="S138" s="416"/>
      <c r="T138" s="416"/>
      <c r="U138" s="416"/>
      <c r="V138" s="416"/>
      <c r="W138" s="416"/>
    </row>
    <row r="139" spans="1:23" s="431" customFormat="1" ht="36" customHeight="1" x14ac:dyDescent="0.3">
      <c r="A139" s="554" t="s">
        <v>508</v>
      </c>
      <c r="B139" s="554"/>
      <c r="C139" s="554"/>
      <c r="D139" s="554"/>
      <c r="E139" s="428">
        <f t="shared" si="18"/>
        <v>20000000</v>
      </c>
      <c r="F139" s="429"/>
      <c r="G139" s="429">
        <v>20000000</v>
      </c>
      <c r="H139" s="429"/>
      <c r="I139" s="440" t="s">
        <v>756</v>
      </c>
      <c r="J139" s="433" t="s">
        <v>755</v>
      </c>
      <c r="K139" s="429">
        <v>12436197</v>
      </c>
      <c r="L139" s="429">
        <f t="shared" si="20"/>
        <v>7563803</v>
      </c>
      <c r="M139" s="429">
        <v>0</v>
      </c>
      <c r="N139" s="429">
        <f t="shared" si="19"/>
        <v>20000000</v>
      </c>
      <c r="O139" s="425">
        <f t="shared" si="17"/>
        <v>0</v>
      </c>
      <c r="P139" s="430" t="s">
        <v>31</v>
      </c>
      <c r="Q139" s="416"/>
      <c r="R139" s="416"/>
      <c r="S139" s="416"/>
      <c r="T139" s="416"/>
      <c r="U139" s="416"/>
      <c r="V139" s="416"/>
      <c r="W139" s="416"/>
    </row>
    <row r="140" spans="1:23" s="431" customFormat="1" ht="38.25" customHeight="1" x14ac:dyDescent="0.3">
      <c r="A140" s="554" t="s">
        <v>509</v>
      </c>
      <c r="B140" s="554"/>
      <c r="C140" s="554"/>
      <c r="D140" s="554"/>
      <c r="E140" s="428">
        <f t="shared" si="18"/>
        <v>20000000</v>
      </c>
      <c r="F140" s="429"/>
      <c r="G140" s="429">
        <v>20000000</v>
      </c>
      <c r="H140" s="429"/>
      <c r="I140" s="440" t="s">
        <v>756</v>
      </c>
      <c r="J140" s="433" t="s">
        <v>755</v>
      </c>
      <c r="K140" s="429">
        <v>12366052</v>
      </c>
      <c r="L140" s="429">
        <f t="shared" si="20"/>
        <v>7633948</v>
      </c>
      <c r="M140" s="429">
        <v>0</v>
      </c>
      <c r="N140" s="429">
        <f t="shared" si="19"/>
        <v>20000000</v>
      </c>
      <c r="O140" s="425">
        <f t="shared" si="17"/>
        <v>0</v>
      </c>
      <c r="P140" s="430" t="s">
        <v>31</v>
      </c>
      <c r="Q140" s="416"/>
      <c r="R140" s="416"/>
      <c r="S140" s="416"/>
      <c r="T140" s="416"/>
      <c r="U140" s="416"/>
      <c r="V140" s="416"/>
      <c r="W140" s="416"/>
    </row>
    <row r="141" spans="1:23" s="431" customFormat="1" ht="36" customHeight="1" x14ac:dyDescent="0.3">
      <c r="A141" s="554" t="s">
        <v>510</v>
      </c>
      <c r="B141" s="554"/>
      <c r="C141" s="554"/>
      <c r="D141" s="554"/>
      <c r="E141" s="428">
        <f t="shared" si="18"/>
        <v>25800000</v>
      </c>
      <c r="F141" s="429"/>
      <c r="G141" s="429">
        <v>25800000</v>
      </c>
      <c r="H141" s="429"/>
      <c r="I141" s="439" t="s">
        <v>754</v>
      </c>
      <c r="J141" s="433" t="s">
        <v>753</v>
      </c>
      <c r="K141" s="429">
        <v>25598000</v>
      </c>
      <c r="L141" s="429">
        <f t="shared" si="20"/>
        <v>202000</v>
      </c>
      <c r="M141" s="429">
        <v>0</v>
      </c>
      <c r="N141" s="429">
        <f t="shared" si="19"/>
        <v>25800000</v>
      </c>
      <c r="O141" s="425">
        <f t="shared" si="17"/>
        <v>0</v>
      </c>
      <c r="P141" s="430" t="s">
        <v>31</v>
      </c>
      <c r="Q141" s="416"/>
      <c r="R141" s="416"/>
      <c r="S141" s="416"/>
      <c r="T141" s="416"/>
      <c r="U141" s="416"/>
      <c r="V141" s="416"/>
      <c r="W141" s="416"/>
    </row>
    <row r="142" spans="1:23" s="427" customFormat="1" ht="37.5" x14ac:dyDescent="0.3">
      <c r="A142" s="555" t="s">
        <v>511</v>
      </c>
      <c r="B142" s="555"/>
      <c r="C142" s="555"/>
      <c r="D142" s="555"/>
      <c r="E142" s="428">
        <f t="shared" si="18"/>
        <v>261000</v>
      </c>
      <c r="F142" s="432"/>
      <c r="G142" s="432">
        <v>261000</v>
      </c>
      <c r="H142" s="432"/>
      <c r="I142" s="449" t="s">
        <v>776</v>
      </c>
      <c r="J142" s="433" t="s">
        <v>698</v>
      </c>
      <c r="K142" s="432">
        <v>261000</v>
      </c>
      <c r="L142" s="429">
        <f t="shared" si="20"/>
        <v>0</v>
      </c>
      <c r="M142" s="432">
        <v>0</v>
      </c>
      <c r="N142" s="429">
        <f t="shared" si="19"/>
        <v>261000</v>
      </c>
      <c r="O142" s="425">
        <f t="shared" si="17"/>
        <v>0</v>
      </c>
      <c r="P142" s="430" t="s">
        <v>9</v>
      </c>
      <c r="Q142" s="412"/>
      <c r="R142" s="412"/>
      <c r="S142" s="412"/>
      <c r="T142" s="412"/>
      <c r="U142" s="412"/>
      <c r="V142" s="412"/>
      <c r="W142" s="412"/>
    </row>
    <row r="143" spans="1:23" s="427" customFormat="1" ht="41.25" customHeight="1" x14ac:dyDescent="0.3">
      <c r="A143" s="555" t="s">
        <v>512</v>
      </c>
      <c r="B143" s="555"/>
      <c r="C143" s="555"/>
      <c r="D143" s="555"/>
      <c r="E143" s="428">
        <f t="shared" si="18"/>
        <v>472000</v>
      </c>
      <c r="F143" s="432"/>
      <c r="G143" s="432">
        <v>472000</v>
      </c>
      <c r="H143" s="432"/>
      <c r="I143" s="449" t="s">
        <v>777</v>
      </c>
      <c r="J143" s="433" t="s">
        <v>698</v>
      </c>
      <c r="K143" s="432">
        <v>472000</v>
      </c>
      <c r="L143" s="429">
        <f t="shared" si="20"/>
        <v>0</v>
      </c>
      <c r="M143" s="432">
        <v>0</v>
      </c>
      <c r="N143" s="429">
        <f t="shared" si="19"/>
        <v>472000</v>
      </c>
      <c r="O143" s="425">
        <f t="shared" si="17"/>
        <v>0</v>
      </c>
      <c r="P143" s="430" t="s">
        <v>9</v>
      </c>
      <c r="Q143" s="412"/>
      <c r="R143" s="412"/>
      <c r="S143" s="412"/>
      <c r="T143" s="412"/>
      <c r="U143" s="412"/>
      <c r="V143" s="412"/>
      <c r="W143" s="412"/>
    </row>
    <row r="144" spans="1:23" s="427" customFormat="1" ht="34.5" x14ac:dyDescent="0.3">
      <c r="A144" s="555" t="s">
        <v>513</v>
      </c>
      <c r="B144" s="555"/>
      <c r="C144" s="555"/>
      <c r="D144" s="555"/>
      <c r="E144" s="428">
        <f t="shared" si="18"/>
        <v>404000</v>
      </c>
      <c r="F144" s="429"/>
      <c r="G144" s="429">
        <v>404000</v>
      </c>
      <c r="H144" s="429"/>
      <c r="I144" s="429"/>
      <c r="J144" s="433" t="s">
        <v>699</v>
      </c>
      <c r="K144" s="429">
        <v>404000</v>
      </c>
      <c r="L144" s="429">
        <f t="shared" si="20"/>
        <v>0</v>
      </c>
      <c r="M144" s="429">
        <v>0</v>
      </c>
      <c r="N144" s="429">
        <f t="shared" si="19"/>
        <v>404000</v>
      </c>
      <c r="O144" s="425">
        <f t="shared" si="17"/>
        <v>0</v>
      </c>
      <c r="P144" s="430" t="s">
        <v>9</v>
      </c>
      <c r="Q144" s="412"/>
      <c r="R144" s="412"/>
      <c r="S144" s="412"/>
      <c r="T144" s="412"/>
      <c r="U144" s="412"/>
      <c r="V144" s="412"/>
      <c r="W144" s="412"/>
    </row>
    <row r="145" spans="1:23" ht="28.5" customHeight="1" x14ac:dyDescent="0.3">
      <c r="A145" s="556" t="s">
        <v>514</v>
      </c>
      <c r="B145" s="557"/>
      <c r="C145" s="557"/>
      <c r="D145" s="558"/>
      <c r="E145" s="278">
        <f>F145+G145</f>
        <v>382401600</v>
      </c>
      <c r="F145" s="278">
        <f t="shared" ref="F145:G145" si="21">F146+F153+F200+F205</f>
        <v>47500000</v>
      </c>
      <c r="G145" s="278">
        <f t="shared" si="21"/>
        <v>334901600</v>
      </c>
      <c r="H145" s="278"/>
      <c r="I145" s="278"/>
      <c r="J145" s="278"/>
      <c r="K145" s="278">
        <f t="shared" ref="K145:L145" si="22">K146+K153+K200+K205</f>
        <v>119538500</v>
      </c>
      <c r="L145" s="278">
        <f t="shared" si="22"/>
        <v>215363100</v>
      </c>
      <c r="M145" s="278">
        <f>M146+M153+M200+M205</f>
        <v>7618000</v>
      </c>
      <c r="N145" s="278">
        <f>N146+N153+N200+N205</f>
        <v>374783600</v>
      </c>
      <c r="O145" s="278"/>
      <c r="P145" s="299"/>
      <c r="Q145" s="412"/>
      <c r="R145" s="412"/>
      <c r="S145" s="412"/>
      <c r="T145" s="412"/>
      <c r="U145" s="412"/>
      <c r="V145" s="412"/>
      <c r="W145" s="412"/>
    </row>
    <row r="146" spans="1:23" ht="21" x14ac:dyDescent="0.3">
      <c r="A146" s="559" t="s">
        <v>515</v>
      </c>
      <c r="B146" s="559"/>
      <c r="C146" s="559"/>
      <c r="D146" s="559"/>
      <c r="E146" s="279">
        <f>E147+E149</f>
        <v>52000000</v>
      </c>
      <c r="F146" s="279">
        <f t="shared" ref="F146:G146" si="23">F147+F149</f>
        <v>12000000</v>
      </c>
      <c r="G146" s="279">
        <f t="shared" si="23"/>
        <v>40000000</v>
      </c>
      <c r="H146" s="279"/>
      <c r="I146" s="279"/>
      <c r="J146" s="279"/>
      <c r="K146" s="279">
        <f t="shared" ref="K146:L146" si="24">K147+K149</f>
        <v>0</v>
      </c>
      <c r="L146" s="279">
        <f t="shared" si="24"/>
        <v>40000000</v>
      </c>
      <c r="M146" s="279">
        <f>M147+M149</f>
        <v>0</v>
      </c>
      <c r="N146" s="279">
        <f>N147+N149</f>
        <v>52000000</v>
      </c>
      <c r="O146" s="279"/>
      <c r="P146" s="300"/>
      <c r="Q146" s="412"/>
      <c r="R146" s="412"/>
      <c r="S146" s="412"/>
      <c r="T146" s="412"/>
      <c r="U146" s="412"/>
      <c r="V146" s="412"/>
      <c r="W146" s="412"/>
    </row>
    <row r="147" spans="1:23" s="261" customFormat="1" ht="21" x14ac:dyDescent="0.35">
      <c r="A147" s="267"/>
      <c r="B147" s="529" t="s">
        <v>516</v>
      </c>
      <c r="C147" s="529"/>
      <c r="D147" s="530"/>
      <c r="E147" s="280">
        <f>E148</f>
        <v>12000000</v>
      </c>
      <c r="F147" s="280">
        <f t="shared" ref="F147:G147" si="25">F148</f>
        <v>12000000</v>
      </c>
      <c r="G147" s="280">
        <f t="shared" si="25"/>
        <v>0</v>
      </c>
      <c r="H147" s="280"/>
      <c r="I147" s="280"/>
      <c r="J147" s="280"/>
      <c r="K147" s="280">
        <f t="shared" ref="K147:L147" si="26">K148</f>
        <v>0</v>
      </c>
      <c r="L147" s="280">
        <f t="shared" si="26"/>
        <v>0</v>
      </c>
      <c r="M147" s="280">
        <f>M148</f>
        <v>0</v>
      </c>
      <c r="N147" s="280">
        <f>N148</f>
        <v>12000000</v>
      </c>
      <c r="O147" s="280"/>
      <c r="P147" s="301"/>
      <c r="Q147" s="455"/>
      <c r="R147" s="455"/>
      <c r="S147" s="455"/>
      <c r="T147" s="455"/>
      <c r="U147" s="455"/>
      <c r="V147" s="455"/>
      <c r="W147" s="455"/>
    </row>
    <row r="148" spans="1:23" s="357" customFormat="1" ht="59.25" customHeight="1" x14ac:dyDescent="0.35">
      <c r="A148" s="355"/>
      <c r="B148" s="356"/>
      <c r="C148" s="533" t="s">
        <v>569</v>
      </c>
      <c r="D148" s="534"/>
      <c r="E148" s="374">
        <v>12000000</v>
      </c>
      <c r="F148" s="374">
        <v>12000000</v>
      </c>
      <c r="G148" s="374"/>
      <c r="H148" s="374"/>
      <c r="I148" s="374"/>
      <c r="J148" s="374"/>
      <c r="K148" s="374"/>
      <c r="L148" s="374"/>
      <c r="M148" s="374">
        <v>0</v>
      </c>
      <c r="N148" s="374">
        <f>F148-M148</f>
        <v>12000000</v>
      </c>
      <c r="O148" s="374"/>
      <c r="P148" s="367" t="s">
        <v>517</v>
      </c>
      <c r="Q148" s="412"/>
      <c r="R148" s="412"/>
      <c r="S148" s="412"/>
      <c r="T148" s="412"/>
      <c r="U148" s="412"/>
      <c r="V148" s="412"/>
      <c r="W148" s="412"/>
    </row>
    <row r="149" spans="1:23" s="261" customFormat="1" ht="21" x14ac:dyDescent="0.35">
      <c r="A149" s="267"/>
      <c r="B149" s="529" t="s">
        <v>518</v>
      </c>
      <c r="C149" s="529"/>
      <c r="D149" s="530"/>
      <c r="E149" s="242">
        <f>E150</f>
        <v>40000000</v>
      </c>
      <c r="F149" s="242">
        <f>F150</f>
        <v>0</v>
      </c>
      <c r="G149" s="242">
        <f>G150</f>
        <v>40000000</v>
      </c>
      <c r="H149" s="242"/>
      <c r="I149" s="242"/>
      <c r="J149" s="242"/>
      <c r="K149" s="242">
        <f>K150</f>
        <v>0</v>
      </c>
      <c r="L149" s="242">
        <f>L150</f>
        <v>40000000</v>
      </c>
      <c r="M149" s="242">
        <f>M150</f>
        <v>0</v>
      </c>
      <c r="N149" s="242">
        <f>N150</f>
        <v>40000000</v>
      </c>
      <c r="O149" s="242"/>
      <c r="P149" s="296"/>
      <c r="Q149" s="455"/>
      <c r="R149" s="455"/>
      <c r="S149" s="455"/>
      <c r="T149" s="455"/>
      <c r="U149" s="455"/>
      <c r="V149" s="455"/>
      <c r="W149" s="455"/>
    </row>
    <row r="150" spans="1:23" s="357" customFormat="1" ht="37.5" x14ac:dyDescent="0.35">
      <c r="A150" s="355"/>
      <c r="B150" s="356"/>
      <c r="C150" s="533" t="s">
        <v>519</v>
      </c>
      <c r="D150" s="534"/>
      <c r="E150" s="381">
        <f>E151+E152</f>
        <v>40000000</v>
      </c>
      <c r="F150" s="381"/>
      <c r="G150" s="381">
        <f>G151+G152</f>
        <v>40000000</v>
      </c>
      <c r="H150" s="381"/>
      <c r="I150" s="381"/>
      <c r="J150" s="381"/>
      <c r="K150" s="381">
        <f>K151+K152</f>
        <v>0</v>
      </c>
      <c r="L150" s="381">
        <f>L151+L152</f>
        <v>40000000</v>
      </c>
      <c r="M150" s="381">
        <f>M151+M152</f>
        <v>0</v>
      </c>
      <c r="N150" s="381">
        <f>N151+N152</f>
        <v>40000000</v>
      </c>
      <c r="O150" s="381"/>
      <c r="P150" s="367" t="s">
        <v>599</v>
      </c>
      <c r="Q150" s="412"/>
      <c r="R150" s="412"/>
      <c r="S150" s="412"/>
      <c r="T150" s="412"/>
      <c r="U150" s="412"/>
      <c r="V150" s="412"/>
      <c r="W150" s="412"/>
    </row>
    <row r="151" spans="1:23" ht="21" x14ac:dyDescent="0.35">
      <c r="A151" s="245"/>
      <c r="B151" s="246"/>
      <c r="C151" s="282"/>
      <c r="D151" s="283" t="s">
        <v>520</v>
      </c>
      <c r="E151" s="281">
        <f>G151</f>
        <v>18000000</v>
      </c>
      <c r="F151" s="281"/>
      <c r="G151" s="281">
        <v>18000000</v>
      </c>
      <c r="H151" s="281"/>
      <c r="I151" s="281"/>
      <c r="J151" s="281"/>
      <c r="K151" s="281"/>
      <c r="L151" s="281">
        <f>G151-K151</f>
        <v>18000000</v>
      </c>
      <c r="M151" s="322">
        <v>0</v>
      </c>
      <c r="N151" s="281">
        <f>G151-M151</f>
        <v>18000000</v>
      </c>
      <c r="O151" s="281"/>
      <c r="P151" s="302"/>
      <c r="Q151" s="412"/>
      <c r="R151" s="412"/>
      <c r="S151" s="412"/>
      <c r="T151" s="412"/>
      <c r="U151" s="412"/>
      <c r="V151" s="412"/>
      <c r="W151" s="412"/>
    </row>
    <row r="152" spans="1:23" ht="21" x14ac:dyDescent="0.35">
      <c r="A152" s="245"/>
      <c r="B152" s="246"/>
      <c r="C152" s="282"/>
      <c r="D152" s="283" t="s">
        <v>521</v>
      </c>
      <c r="E152" s="281">
        <f>G152</f>
        <v>22000000</v>
      </c>
      <c r="F152" s="281"/>
      <c r="G152" s="281">
        <v>22000000</v>
      </c>
      <c r="H152" s="281"/>
      <c r="I152" s="281"/>
      <c r="J152" s="281"/>
      <c r="K152" s="281"/>
      <c r="L152" s="281">
        <f>G152-K152</f>
        <v>22000000</v>
      </c>
      <c r="M152" s="322">
        <v>0</v>
      </c>
      <c r="N152" s="281">
        <f>G152-M152</f>
        <v>22000000</v>
      </c>
      <c r="O152" s="281"/>
      <c r="P152" s="302"/>
      <c r="Q152" s="412"/>
      <c r="R152" s="412"/>
      <c r="S152" s="412"/>
      <c r="T152" s="412"/>
      <c r="U152" s="412"/>
      <c r="V152" s="412"/>
      <c r="W152" s="412"/>
    </row>
    <row r="153" spans="1:23" ht="21" x14ac:dyDescent="0.3">
      <c r="A153" s="535" t="s">
        <v>522</v>
      </c>
      <c r="B153" s="536"/>
      <c r="C153" s="536"/>
      <c r="D153" s="537"/>
      <c r="E153" s="266">
        <f>E154+E173+E176+E197</f>
        <v>303901600</v>
      </c>
      <c r="F153" s="266">
        <f t="shared" ref="F153:G153" si="27">F154+F173+F176+F197</f>
        <v>10000000</v>
      </c>
      <c r="G153" s="266">
        <f t="shared" si="27"/>
        <v>293901600</v>
      </c>
      <c r="H153" s="266"/>
      <c r="I153" s="266"/>
      <c r="J153" s="266"/>
      <c r="K153" s="266">
        <f t="shared" ref="K153:L153" si="28">K154+K173+K176+K197</f>
        <v>119538500</v>
      </c>
      <c r="L153" s="266">
        <f t="shared" si="28"/>
        <v>174363100</v>
      </c>
      <c r="M153" s="266">
        <f>M154+M173+M176+M197</f>
        <v>7483500</v>
      </c>
      <c r="N153" s="266">
        <f>N154+N173+N176+N197</f>
        <v>296418100</v>
      </c>
      <c r="O153" s="266"/>
      <c r="P153" s="300"/>
      <c r="Q153" s="412"/>
      <c r="R153" s="412"/>
      <c r="S153" s="412"/>
      <c r="T153" s="412"/>
      <c r="U153" s="412"/>
      <c r="V153" s="412"/>
      <c r="W153" s="412"/>
    </row>
    <row r="154" spans="1:23" s="261" customFormat="1" ht="21" x14ac:dyDescent="0.35">
      <c r="A154" s="267"/>
      <c r="B154" s="529" t="s">
        <v>523</v>
      </c>
      <c r="C154" s="529"/>
      <c r="D154" s="530"/>
      <c r="E154" s="242">
        <f>E155+E164+E165+E166+E167+E168+E169+E170+E171+E172</f>
        <v>61205600</v>
      </c>
      <c r="F154" s="242">
        <f t="shared" ref="F154:G154" si="29">F155+F164+F165+F166+F167+F168+F169+F170+F171+F172</f>
        <v>0</v>
      </c>
      <c r="G154" s="242">
        <f t="shared" si="29"/>
        <v>61205600</v>
      </c>
      <c r="H154" s="242"/>
      <c r="I154" s="242"/>
      <c r="J154" s="242"/>
      <c r="K154" s="242">
        <f t="shared" ref="K154:L154" si="30">K155+K164+K165+K166+K167+K168+K169+K170+K171+K172</f>
        <v>12651500</v>
      </c>
      <c r="L154" s="242">
        <f t="shared" si="30"/>
        <v>48554100</v>
      </c>
      <c r="M154" s="242">
        <f>M155+M164+M165+M166+M167+M168+M169+M170+M171+M172</f>
        <v>0</v>
      </c>
      <c r="N154" s="242">
        <f>N155+N164+N165+N166+N167+N168+N169+N170+N171+N172</f>
        <v>61205600</v>
      </c>
      <c r="O154" s="242"/>
      <c r="P154" s="296"/>
      <c r="Q154" s="455"/>
      <c r="R154" s="455"/>
      <c r="S154" s="455"/>
      <c r="T154" s="455"/>
      <c r="U154" s="455"/>
      <c r="V154" s="455"/>
      <c r="W154" s="455"/>
    </row>
    <row r="155" spans="1:23" s="382" customFormat="1" ht="75" x14ac:dyDescent="0.35">
      <c r="A155" s="383"/>
      <c r="B155" s="384"/>
      <c r="C155" s="538" t="s">
        <v>524</v>
      </c>
      <c r="D155" s="539"/>
      <c r="E155" s="374">
        <v>9300000</v>
      </c>
      <c r="F155" s="374"/>
      <c r="G155" s="374">
        <v>9300000</v>
      </c>
      <c r="H155" s="374"/>
      <c r="I155" s="447" t="s">
        <v>769</v>
      </c>
      <c r="J155" s="401" t="s">
        <v>770</v>
      </c>
      <c r="K155" s="374">
        <v>9144000</v>
      </c>
      <c r="L155" s="374">
        <f>G155-K155</f>
        <v>156000</v>
      </c>
      <c r="M155" s="374">
        <v>0</v>
      </c>
      <c r="N155" s="374">
        <f t="shared" ref="N155:N172" si="31">G155-M155</f>
        <v>9300000</v>
      </c>
      <c r="O155" s="374">
        <f>M155*100/G155</f>
        <v>0</v>
      </c>
      <c r="P155" s="367" t="s">
        <v>464</v>
      </c>
      <c r="Q155" s="416"/>
      <c r="R155" s="416"/>
      <c r="S155" s="416"/>
      <c r="T155" s="416"/>
      <c r="U155" s="416"/>
      <c r="V155" s="416"/>
      <c r="W155" s="416"/>
    </row>
    <row r="156" spans="1:23" s="357" customFormat="1" ht="42" hidden="1" x14ac:dyDescent="0.35">
      <c r="A156" s="364"/>
      <c r="B156" s="365"/>
      <c r="C156" s="365"/>
      <c r="D156" s="402" t="s">
        <v>525</v>
      </c>
      <c r="E156" s="374"/>
      <c r="F156" s="374"/>
      <c r="G156" s="374"/>
      <c r="H156" s="374"/>
      <c r="I156" s="374"/>
      <c r="J156" s="374"/>
      <c r="K156" s="374"/>
      <c r="L156" s="374">
        <f t="shared" ref="L156:L172" si="32">G156-K156</f>
        <v>0</v>
      </c>
      <c r="M156" s="374"/>
      <c r="N156" s="374">
        <f t="shared" si="31"/>
        <v>0</v>
      </c>
      <c r="O156" s="374"/>
      <c r="P156" s="367"/>
      <c r="Q156" s="412"/>
      <c r="R156" s="412"/>
      <c r="S156" s="412"/>
      <c r="T156" s="412"/>
      <c r="U156" s="412"/>
      <c r="V156" s="412"/>
      <c r="W156" s="412"/>
    </row>
    <row r="157" spans="1:23" s="357" customFormat="1" ht="42" hidden="1" x14ac:dyDescent="0.35">
      <c r="A157" s="364"/>
      <c r="B157" s="365"/>
      <c r="C157" s="365"/>
      <c r="D157" s="402" t="s">
        <v>570</v>
      </c>
      <c r="E157" s="374"/>
      <c r="F157" s="374"/>
      <c r="G157" s="374"/>
      <c r="H157" s="374"/>
      <c r="I157" s="374"/>
      <c r="J157" s="374"/>
      <c r="K157" s="374"/>
      <c r="L157" s="374">
        <f t="shared" si="32"/>
        <v>0</v>
      </c>
      <c r="M157" s="374"/>
      <c r="N157" s="374">
        <f t="shared" si="31"/>
        <v>0</v>
      </c>
      <c r="O157" s="374"/>
      <c r="P157" s="367"/>
      <c r="Q157" s="412"/>
      <c r="R157" s="412"/>
      <c r="S157" s="412"/>
      <c r="T157" s="412"/>
      <c r="U157" s="412"/>
      <c r="V157" s="412"/>
      <c r="W157" s="412"/>
    </row>
    <row r="158" spans="1:23" s="357" customFormat="1" ht="42" hidden="1" x14ac:dyDescent="0.35">
      <c r="A158" s="364"/>
      <c r="B158" s="365"/>
      <c r="C158" s="365"/>
      <c r="D158" s="402" t="s">
        <v>573</v>
      </c>
      <c r="E158" s="374"/>
      <c r="F158" s="374"/>
      <c r="G158" s="374"/>
      <c r="H158" s="374"/>
      <c r="I158" s="374"/>
      <c r="J158" s="374"/>
      <c r="K158" s="374"/>
      <c r="L158" s="374">
        <f t="shared" si="32"/>
        <v>0</v>
      </c>
      <c r="M158" s="374"/>
      <c r="N158" s="374">
        <f t="shared" si="31"/>
        <v>0</v>
      </c>
      <c r="O158" s="374"/>
      <c r="P158" s="367"/>
      <c r="Q158" s="412"/>
      <c r="R158" s="412"/>
      <c r="S158" s="412"/>
      <c r="T158" s="412"/>
      <c r="U158" s="412"/>
      <c r="V158" s="412"/>
      <c r="W158" s="412"/>
    </row>
    <row r="159" spans="1:23" s="357" customFormat="1" ht="42" hidden="1" customHeight="1" x14ac:dyDescent="0.35">
      <c r="A159" s="364"/>
      <c r="B159" s="365"/>
      <c r="C159" s="365"/>
      <c r="D159" s="402" t="s">
        <v>571</v>
      </c>
      <c r="E159" s="374"/>
      <c r="F159" s="374"/>
      <c r="G159" s="374"/>
      <c r="H159" s="374"/>
      <c r="I159" s="374"/>
      <c r="J159" s="374"/>
      <c r="K159" s="374"/>
      <c r="L159" s="374">
        <f t="shared" si="32"/>
        <v>0</v>
      </c>
      <c r="M159" s="374"/>
      <c r="N159" s="374">
        <f t="shared" si="31"/>
        <v>0</v>
      </c>
      <c r="O159" s="374"/>
      <c r="P159" s="367"/>
      <c r="Q159" s="412"/>
      <c r="R159" s="412"/>
      <c r="S159" s="412"/>
      <c r="T159" s="412"/>
      <c r="U159" s="412"/>
      <c r="V159" s="412"/>
      <c r="W159" s="412"/>
    </row>
    <row r="160" spans="1:23" s="357" customFormat="1" ht="42" hidden="1" x14ac:dyDescent="0.35">
      <c r="A160" s="364"/>
      <c r="B160" s="365"/>
      <c r="C160" s="365"/>
      <c r="D160" s="402" t="s">
        <v>572</v>
      </c>
      <c r="E160" s="353"/>
      <c r="F160" s="353"/>
      <c r="G160" s="353"/>
      <c r="H160" s="353"/>
      <c r="I160" s="353"/>
      <c r="J160" s="353"/>
      <c r="K160" s="353"/>
      <c r="L160" s="374">
        <f t="shared" si="32"/>
        <v>0</v>
      </c>
      <c r="M160" s="353"/>
      <c r="N160" s="374">
        <f t="shared" si="31"/>
        <v>0</v>
      </c>
      <c r="O160" s="353"/>
      <c r="P160" s="377"/>
      <c r="Q160" s="412"/>
      <c r="R160" s="412"/>
      <c r="S160" s="412"/>
      <c r="T160" s="412"/>
      <c r="U160" s="412"/>
      <c r="V160" s="412"/>
      <c r="W160" s="412"/>
    </row>
    <row r="161" spans="1:23" s="357" customFormat="1" ht="42" hidden="1" x14ac:dyDescent="0.35">
      <c r="A161" s="364"/>
      <c r="B161" s="365"/>
      <c r="C161" s="365"/>
      <c r="D161" s="402" t="s">
        <v>526</v>
      </c>
      <c r="E161" s="374"/>
      <c r="F161" s="374"/>
      <c r="G161" s="374"/>
      <c r="H161" s="374"/>
      <c r="I161" s="374"/>
      <c r="J161" s="374"/>
      <c r="K161" s="374"/>
      <c r="L161" s="374">
        <f t="shared" si="32"/>
        <v>0</v>
      </c>
      <c r="M161" s="374"/>
      <c r="N161" s="374">
        <f t="shared" si="31"/>
        <v>0</v>
      </c>
      <c r="O161" s="374"/>
      <c r="P161" s="367"/>
      <c r="Q161" s="412"/>
      <c r="R161" s="412"/>
      <c r="S161" s="412"/>
      <c r="T161" s="412"/>
      <c r="U161" s="412"/>
      <c r="V161" s="412"/>
      <c r="W161" s="412"/>
    </row>
    <row r="162" spans="1:23" s="357" customFormat="1" ht="42" hidden="1" x14ac:dyDescent="0.35">
      <c r="A162" s="364"/>
      <c r="B162" s="365"/>
      <c r="C162" s="365"/>
      <c r="D162" s="402" t="s">
        <v>527</v>
      </c>
      <c r="E162" s="374"/>
      <c r="F162" s="374"/>
      <c r="G162" s="374"/>
      <c r="H162" s="374"/>
      <c r="I162" s="374"/>
      <c r="J162" s="374"/>
      <c r="K162" s="374"/>
      <c r="L162" s="374">
        <f t="shared" si="32"/>
        <v>0</v>
      </c>
      <c r="M162" s="374"/>
      <c r="N162" s="374">
        <f t="shared" si="31"/>
        <v>0</v>
      </c>
      <c r="O162" s="374"/>
      <c r="P162" s="367"/>
      <c r="Q162" s="412"/>
      <c r="R162" s="412"/>
      <c r="S162" s="412"/>
      <c r="T162" s="412"/>
      <c r="U162" s="412"/>
      <c r="V162" s="412"/>
      <c r="W162" s="412"/>
    </row>
    <row r="163" spans="1:23" s="357" customFormat="1" ht="42" hidden="1" x14ac:dyDescent="0.35">
      <c r="A163" s="364"/>
      <c r="B163" s="365"/>
      <c r="C163" s="365"/>
      <c r="D163" s="402" t="s">
        <v>528</v>
      </c>
      <c r="E163" s="374"/>
      <c r="F163" s="374"/>
      <c r="G163" s="374"/>
      <c r="H163" s="374"/>
      <c r="I163" s="374"/>
      <c r="J163" s="374"/>
      <c r="K163" s="374"/>
      <c r="L163" s="374">
        <f t="shared" si="32"/>
        <v>0</v>
      </c>
      <c r="M163" s="374"/>
      <c r="N163" s="374">
        <f t="shared" si="31"/>
        <v>0</v>
      </c>
      <c r="O163" s="374"/>
      <c r="P163" s="367"/>
      <c r="Q163" s="412"/>
      <c r="R163" s="412"/>
      <c r="S163" s="412"/>
      <c r="T163" s="412"/>
      <c r="U163" s="412"/>
      <c r="V163" s="412"/>
      <c r="W163" s="412"/>
    </row>
    <row r="164" spans="1:23" s="357" customFormat="1" ht="44.25" customHeight="1" x14ac:dyDescent="0.35">
      <c r="A164" s="364"/>
      <c r="B164" s="365"/>
      <c r="C164" s="531" t="s">
        <v>575</v>
      </c>
      <c r="D164" s="532"/>
      <c r="E164" s="381">
        <v>8000000</v>
      </c>
      <c r="F164" s="381"/>
      <c r="G164" s="381">
        <v>8000000</v>
      </c>
      <c r="H164" s="381"/>
      <c r="I164" s="381"/>
      <c r="J164" s="381"/>
      <c r="K164" s="381"/>
      <c r="L164" s="374">
        <f t="shared" si="32"/>
        <v>8000000</v>
      </c>
      <c r="M164" s="381">
        <v>0</v>
      </c>
      <c r="N164" s="374">
        <f t="shared" si="31"/>
        <v>8000000</v>
      </c>
      <c r="O164" s="381"/>
      <c r="P164" s="367" t="s">
        <v>529</v>
      </c>
      <c r="Q164" s="412"/>
      <c r="R164" s="412"/>
      <c r="S164" s="412"/>
      <c r="T164" s="412"/>
      <c r="U164" s="412"/>
      <c r="V164" s="412"/>
      <c r="W164" s="412"/>
    </row>
    <row r="165" spans="1:23" s="357" customFormat="1" ht="42.75" customHeight="1" x14ac:dyDescent="0.35">
      <c r="A165" s="355"/>
      <c r="B165" s="356"/>
      <c r="C165" s="533" t="s">
        <v>530</v>
      </c>
      <c r="D165" s="534"/>
      <c r="E165" s="398">
        <v>15882000</v>
      </c>
      <c r="F165" s="398"/>
      <c r="G165" s="398">
        <v>15882000</v>
      </c>
      <c r="H165" s="398"/>
      <c r="I165" s="398"/>
      <c r="J165" s="398"/>
      <c r="K165" s="398"/>
      <c r="L165" s="374">
        <f t="shared" si="32"/>
        <v>15882000</v>
      </c>
      <c r="M165" s="398">
        <v>0</v>
      </c>
      <c r="N165" s="374">
        <f t="shared" si="31"/>
        <v>15882000</v>
      </c>
      <c r="O165" s="398"/>
      <c r="P165" s="367" t="s">
        <v>5</v>
      </c>
      <c r="Q165" s="412"/>
      <c r="R165" s="412"/>
      <c r="S165" s="412"/>
      <c r="T165" s="412"/>
      <c r="U165" s="412"/>
      <c r="V165" s="412"/>
      <c r="W165" s="412"/>
    </row>
    <row r="166" spans="1:23" s="357" customFormat="1" ht="45.75" customHeight="1" x14ac:dyDescent="0.35">
      <c r="A166" s="364"/>
      <c r="B166" s="365"/>
      <c r="C166" s="531" t="s">
        <v>574</v>
      </c>
      <c r="D166" s="532"/>
      <c r="E166" s="398">
        <v>4500000</v>
      </c>
      <c r="F166" s="398"/>
      <c r="G166" s="398">
        <v>4500000</v>
      </c>
      <c r="H166" s="398"/>
      <c r="I166" s="398"/>
      <c r="J166" s="398"/>
      <c r="K166" s="398"/>
      <c r="L166" s="374">
        <f t="shared" si="32"/>
        <v>4500000</v>
      </c>
      <c r="M166" s="398">
        <v>0</v>
      </c>
      <c r="N166" s="374">
        <f t="shared" si="31"/>
        <v>4500000</v>
      </c>
      <c r="O166" s="398"/>
      <c r="P166" s="367" t="s">
        <v>5</v>
      </c>
      <c r="Q166" s="412"/>
      <c r="R166" s="412"/>
      <c r="S166" s="412"/>
      <c r="T166" s="412"/>
      <c r="U166" s="412"/>
      <c r="V166" s="412"/>
      <c r="W166" s="412"/>
    </row>
    <row r="167" spans="1:23" s="357" customFormat="1" ht="42" customHeight="1" x14ac:dyDescent="0.35">
      <c r="A167" s="364"/>
      <c r="B167" s="365"/>
      <c r="C167" s="531" t="s">
        <v>576</v>
      </c>
      <c r="D167" s="532"/>
      <c r="E167" s="398">
        <v>3592000</v>
      </c>
      <c r="F167" s="398"/>
      <c r="G167" s="398">
        <v>3592000</v>
      </c>
      <c r="H167" s="398"/>
      <c r="I167" s="398"/>
      <c r="J167" s="398"/>
      <c r="K167" s="398"/>
      <c r="L167" s="374">
        <f t="shared" si="32"/>
        <v>3592000</v>
      </c>
      <c r="M167" s="398">
        <v>0</v>
      </c>
      <c r="N167" s="374">
        <f t="shared" si="31"/>
        <v>3592000</v>
      </c>
      <c r="O167" s="398"/>
      <c r="P167" s="367" t="s">
        <v>10</v>
      </c>
      <c r="Q167" s="412"/>
      <c r="R167" s="412"/>
      <c r="S167" s="412"/>
      <c r="T167" s="412"/>
      <c r="U167" s="412"/>
      <c r="V167" s="412"/>
      <c r="W167" s="412"/>
    </row>
    <row r="168" spans="1:23" s="357" customFormat="1" ht="43.5" customHeight="1" x14ac:dyDescent="0.35">
      <c r="A168" s="355"/>
      <c r="B168" s="356"/>
      <c r="C168" s="533" t="s">
        <v>531</v>
      </c>
      <c r="D168" s="534"/>
      <c r="E168" s="398">
        <v>5832000</v>
      </c>
      <c r="F168" s="398"/>
      <c r="G168" s="398">
        <v>5832000</v>
      </c>
      <c r="H168" s="398"/>
      <c r="I168" s="398"/>
      <c r="J168" s="398"/>
      <c r="K168" s="398"/>
      <c r="L168" s="374">
        <f t="shared" si="32"/>
        <v>5832000</v>
      </c>
      <c r="M168" s="398">
        <v>0</v>
      </c>
      <c r="N168" s="374">
        <f t="shared" si="31"/>
        <v>5832000</v>
      </c>
      <c r="O168" s="398"/>
      <c r="P168" s="367" t="s">
        <v>10</v>
      </c>
      <c r="Q168" s="412"/>
      <c r="R168" s="412"/>
      <c r="S168" s="412"/>
      <c r="T168" s="412"/>
      <c r="U168" s="412"/>
      <c r="V168" s="412"/>
      <c r="W168" s="412"/>
    </row>
    <row r="169" spans="1:23" s="357" customFormat="1" ht="65.25" customHeight="1" x14ac:dyDescent="0.35">
      <c r="A169" s="355"/>
      <c r="B169" s="356"/>
      <c r="C169" s="533" t="s">
        <v>577</v>
      </c>
      <c r="D169" s="534"/>
      <c r="E169" s="398">
        <v>6282000</v>
      </c>
      <c r="F169" s="398"/>
      <c r="G169" s="398">
        <v>6282000</v>
      </c>
      <c r="H169" s="398"/>
      <c r="I169" s="398"/>
      <c r="J169" s="398"/>
      <c r="K169" s="398"/>
      <c r="L169" s="374">
        <f t="shared" si="32"/>
        <v>6282000</v>
      </c>
      <c r="M169" s="398">
        <v>0</v>
      </c>
      <c r="N169" s="374">
        <f t="shared" si="31"/>
        <v>6282000</v>
      </c>
      <c r="O169" s="398"/>
      <c r="P169" s="367" t="s">
        <v>4</v>
      </c>
      <c r="Q169" s="412"/>
      <c r="R169" s="412"/>
      <c r="S169" s="412"/>
      <c r="T169" s="412"/>
      <c r="U169" s="412"/>
      <c r="V169" s="412"/>
      <c r="W169" s="412"/>
    </row>
    <row r="170" spans="1:23" s="357" customFormat="1" ht="66" customHeight="1" x14ac:dyDescent="0.35">
      <c r="A170" s="355"/>
      <c r="B170" s="356"/>
      <c r="C170" s="533" t="s">
        <v>578</v>
      </c>
      <c r="D170" s="534"/>
      <c r="E170" s="398">
        <v>1999600</v>
      </c>
      <c r="F170" s="398"/>
      <c r="G170" s="398">
        <v>1999600</v>
      </c>
      <c r="H170" s="398"/>
      <c r="I170" s="442" t="s">
        <v>767</v>
      </c>
      <c r="J170" s="401" t="s">
        <v>700</v>
      </c>
      <c r="K170" s="398">
        <v>1994500</v>
      </c>
      <c r="L170" s="374">
        <f t="shared" si="32"/>
        <v>5100</v>
      </c>
      <c r="M170" s="398">
        <v>0</v>
      </c>
      <c r="N170" s="374">
        <f t="shared" si="31"/>
        <v>1999600</v>
      </c>
      <c r="O170" s="398"/>
      <c r="P170" s="367" t="s">
        <v>4</v>
      </c>
      <c r="Q170" s="412"/>
      <c r="R170" s="412"/>
      <c r="S170" s="412"/>
      <c r="T170" s="412"/>
      <c r="U170" s="412"/>
      <c r="V170" s="412"/>
      <c r="W170" s="412"/>
    </row>
    <row r="171" spans="1:23" s="357" customFormat="1" ht="37.5" x14ac:dyDescent="0.35">
      <c r="A171" s="364"/>
      <c r="B171" s="365"/>
      <c r="C171" s="531" t="s">
        <v>532</v>
      </c>
      <c r="D171" s="532"/>
      <c r="E171" s="398">
        <v>1518000</v>
      </c>
      <c r="F171" s="398"/>
      <c r="G171" s="398">
        <v>1518000</v>
      </c>
      <c r="H171" s="398"/>
      <c r="I171" s="442" t="s">
        <v>767</v>
      </c>
      <c r="J171" s="401" t="s">
        <v>701</v>
      </c>
      <c r="K171" s="398">
        <v>1513000</v>
      </c>
      <c r="L171" s="374">
        <f t="shared" si="32"/>
        <v>5000</v>
      </c>
      <c r="M171" s="398">
        <v>0</v>
      </c>
      <c r="N171" s="374">
        <f t="shared" si="31"/>
        <v>1518000</v>
      </c>
      <c r="O171" s="398"/>
      <c r="P171" s="367" t="s">
        <v>4</v>
      </c>
      <c r="Q171" s="412"/>
      <c r="R171" s="412"/>
      <c r="S171" s="412"/>
      <c r="T171" s="412"/>
      <c r="U171" s="412"/>
      <c r="V171" s="412"/>
      <c r="W171" s="412"/>
    </row>
    <row r="172" spans="1:23" s="357" customFormat="1" ht="45" customHeight="1" x14ac:dyDescent="0.35">
      <c r="A172" s="364"/>
      <c r="B172" s="365"/>
      <c r="C172" s="531" t="s">
        <v>533</v>
      </c>
      <c r="D172" s="532"/>
      <c r="E172" s="398">
        <v>4300000</v>
      </c>
      <c r="F172" s="398"/>
      <c r="G172" s="398">
        <v>4300000</v>
      </c>
      <c r="H172" s="398"/>
      <c r="I172" s="398"/>
      <c r="J172" s="398"/>
      <c r="K172" s="398"/>
      <c r="L172" s="374">
        <f t="shared" si="32"/>
        <v>4300000</v>
      </c>
      <c r="M172" s="398"/>
      <c r="N172" s="374">
        <f t="shared" si="31"/>
        <v>4300000</v>
      </c>
      <c r="O172" s="398"/>
      <c r="P172" s="367" t="s">
        <v>5</v>
      </c>
      <c r="Q172" s="412"/>
      <c r="R172" s="412"/>
      <c r="S172" s="412"/>
      <c r="T172" s="412"/>
      <c r="U172" s="412"/>
      <c r="V172" s="412"/>
      <c r="W172" s="412"/>
    </row>
    <row r="173" spans="1:23" s="261" customFormat="1" ht="21" x14ac:dyDescent="0.35">
      <c r="A173" s="267"/>
      <c r="B173" s="529" t="s">
        <v>534</v>
      </c>
      <c r="C173" s="529"/>
      <c r="D173" s="530"/>
      <c r="E173" s="268">
        <f>E174</f>
        <v>10000000</v>
      </c>
      <c r="F173" s="268">
        <f t="shared" ref="F173:G173" si="33">F174</f>
        <v>10000000</v>
      </c>
      <c r="G173" s="268">
        <f t="shared" si="33"/>
        <v>0</v>
      </c>
      <c r="H173" s="268"/>
      <c r="I173" s="268"/>
      <c r="J173" s="268"/>
      <c r="K173" s="268">
        <f t="shared" ref="K173:L173" si="34">K174</f>
        <v>0</v>
      </c>
      <c r="L173" s="268">
        <f t="shared" si="34"/>
        <v>0</v>
      </c>
      <c r="M173" s="268">
        <f>M174</f>
        <v>0</v>
      </c>
      <c r="N173" s="268">
        <f>N174</f>
        <v>10000000</v>
      </c>
      <c r="O173" s="268">
        <f>M173*100/F173</f>
        <v>0</v>
      </c>
      <c r="P173" s="295"/>
      <c r="Q173" s="455"/>
      <c r="R173" s="455"/>
      <c r="S173" s="455"/>
      <c r="T173" s="455"/>
      <c r="U173" s="455"/>
      <c r="V173" s="455"/>
      <c r="W173" s="455"/>
    </row>
    <row r="174" spans="1:23" s="357" customFormat="1" ht="21" x14ac:dyDescent="0.35">
      <c r="A174" s="364"/>
      <c r="B174" s="365"/>
      <c r="C174" s="531" t="s">
        <v>535</v>
      </c>
      <c r="D174" s="532"/>
      <c r="E174" s="374">
        <f>E175</f>
        <v>10000000</v>
      </c>
      <c r="F174" s="374">
        <f>F175</f>
        <v>10000000</v>
      </c>
      <c r="G174" s="374"/>
      <c r="H174" s="374"/>
      <c r="I174" s="374"/>
      <c r="J174" s="374"/>
      <c r="K174" s="374">
        <f>K175</f>
        <v>0</v>
      </c>
      <c r="L174" s="374">
        <f>L175</f>
        <v>0</v>
      </c>
      <c r="M174" s="374">
        <f>M175</f>
        <v>0</v>
      </c>
      <c r="N174" s="374">
        <f>N175</f>
        <v>10000000</v>
      </c>
      <c r="O174" s="374">
        <f>M174*100/F174</f>
        <v>0</v>
      </c>
      <c r="P174" s="394"/>
      <c r="Q174" s="412"/>
      <c r="R174" s="412"/>
      <c r="S174" s="412"/>
      <c r="T174" s="412"/>
      <c r="U174" s="412"/>
      <c r="V174" s="412"/>
      <c r="W174" s="412"/>
    </row>
    <row r="175" spans="1:23" ht="35.25" customHeight="1" x14ac:dyDescent="0.35">
      <c r="A175" s="269"/>
      <c r="B175" s="270"/>
      <c r="C175" s="270"/>
      <c r="D175" s="285" t="s">
        <v>536</v>
      </c>
      <c r="E175" s="284">
        <v>10000000</v>
      </c>
      <c r="F175" s="284">
        <v>10000000</v>
      </c>
      <c r="G175" s="284"/>
      <c r="H175" s="284"/>
      <c r="I175" s="284"/>
      <c r="J175" s="284"/>
      <c r="K175" s="284"/>
      <c r="L175" s="284"/>
      <c r="M175" s="97">
        <v>0</v>
      </c>
      <c r="N175" s="284">
        <f>F175-M175</f>
        <v>10000000</v>
      </c>
      <c r="O175" s="284">
        <f>M175*100/F175</f>
        <v>0</v>
      </c>
      <c r="P175" s="302" t="s">
        <v>517</v>
      </c>
      <c r="Q175" s="412"/>
      <c r="R175" s="412"/>
      <c r="S175" s="412"/>
      <c r="T175" s="412"/>
      <c r="U175" s="412"/>
      <c r="V175" s="412"/>
      <c r="W175" s="412"/>
    </row>
    <row r="176" spans="1:23" s="261" customFormat="1" ht="21" x14ac:dyDescent="0.35">
      <c r="A176" s="267"/>
      <c r="B176" s="529" t="s">
        <v>537</v>
      </c>
      <c r="C176" s="529"/>
      <c r="D176" s="530"/>
      <c r="E176" s="242">
        <f>E177</f>
        <v>230546000</v>
      </c>
      <c r="F176" s="242"/>
      <c r="G176" s="242">
        <f>G177</f>
        <v>230546000</v>
      </c>
      <c r="H176" s="242"/>
      <c r="I176" s="242"/>
      <c r="J176" s="242"/>
      <c r="K176" s="242">
        <f>K177</f>
        <v>105186000</v>
      </c>
      <c r="L176" s="242">
        <f>L177</f>
        <v>125360000</v>
      </c>
      <c r="M176" s="242">
        <f>M177</f>
        <v>7483500</v>
      </c>
      <c r="N176" s="242">
        <f>N177</f>
        <v>223062500</v>
      </c>
      <c r="O176" s="339">
        <f>M176*100/G176</f>
        <v>3.2459899542824426</v>
      </c>
      <c r="P176" s="296"/>
      <c r="Q176" s="455"/>
      <c r="R176" s="455"/>
      <c r="S176" s="455"/>
      <c r="T176" s="455"/>
      <c r="U176" s="455"/>
      <c r="V176" s="455"/>
      <c r="W176" s="455"/>
    </row>
    <row r="177" spans="1:23" s="357" customFormat="1" ht="21" x14ac:dyDescent="0.35">
      <c r="A177" s="364"/>
      <c r="B177" s="365"/>
      <c r="C177" s="531" t="s">
        <v>538</v>
      </c>
      <c r="D177" s="532"/>
      <c r="E177" s="374">
        <f>E178+E179+E180+E182+E184+E188+E190+E193+E194</f>
        <v>230546000</v>
      </c>
      <c r="F177" s="374"/>
      <c r="G177" s="374">
        <f>G178+G179+G180+G182+G184+G188+G190+G193+G194</f>
        <v>230546000</v>
      </c>
      <c r="H177" s="374"/>
      <c r="I177" s="374"/>
      <c r="J177" s="374"/>
      <c r="K177" s="374">
        <f>K178+K179+K180+K182+K184+K188+K190+K193+K194</f>
        <v>105186000</v>
      </c>
      <c r="L177" s="374">
        <f>L178+L179+L180+L182+L184+L188+L190+L193+L194</f>
        <v>125360000</v>
      </c>
      <c r="M177" s="374">
        <f>M178+M179+M180+M182+M184+M188+M190+M193+M194</f>
        <v>7483500</v>
      </c>
      <c r="N177" s="374">
        <f>N178+N179+N180+N182+N184+N188+N190+N193+N194</f>
        <v>223062500</v>
      </c>
      <c r="O177" s="375">
        <f>M177*100/G177</f>
        <v>3.2459899542824426</v>
      </c>
      <c r="P177" s="394"/>
      <c r="Q177" s="412"/>
      <c r="R177" s="412"/>
      <c r="S177" s="412"/>
      <c r="T177" s="412"/>
      <c r="U177" s="412"/>
      <c r="V177" s="412"/>
      <c r="W177" s="412"/>
    </row>
    <row r="178" spans="1:23" s="412" customFormat="1" ht="44.25" customHeight="1" x14ac:dyDescent="0.35">
      <c r="A178" s="407"/>
      <c r="B178" s="408"/>
      <c r="C178" s="408"/>
      <c r="D178" s="409" t="s">
        <v>539</v>
      </c>
      <c r="E178" s="410">
        <f>G178</f>
        <v>26745000</v>
      </c>
      <c r="F178" s="410"/>
      <c r="G178" s="410">
        <v>26745000</v>
      </c>
      <c r="H178" s="410"/>
      <c r="I178" s="410"/>
      <c r="J178" s="410"/>
      <c r="K178" s="410">
        <f>K179</f>
        <v>995000</v>
      </c>
      <c r="L178" s="410">
        <f>G178-K178</f>
        <v>25750000</v>
      </c>
      <c r="M178" s="410">
        <v>0</v>
      </c>
      <c r="N178" s="410">
        <f>G178-M178</f>
        <v>26745000</v>
      </c>
      <c r="O178" s="410">
        <f>M178*100/G178</f>
        <v>0</v>
      </c>
      <c r="P178" s="411" t="s">
        <v>540</v>
      </c>
    </row>
    <row r="179" spans="1:23" s="416" customFormat="1" ht="75" x14ac:dyDescent="0.35">
      <c r="A179" s="413"/>
      <c r="B179" s="414"/>
      <c r="C179" s="414"/>
      <c r="D179" s="409" t="s">
        <v>579</v>
      </c>
      <c r="E179" s="410">
        <f>G179</f>
        <v>1000000</v>
      </c>
      <c r="F179" s="322"/>
      <c r="G179" s="322">
        <v>1000000</v>
      </c>
      <c r="H179" s="322"/>
      <c r="I179" s="446" t="s">
        <v>771</v>
      </c>
      <c r="J179" s="415" t="s">
        <v>704</v>
      </c>
      <c r="K179" s="322">
        <v>995000</v>
      </c>
      <c r="L179" s="410">
        <f t="shared" ref="L179" si="35">G179-K179</f>
        <v>5000</v>
      </c>
      <c r="M179" s="322">
        <v>0</v>
      </c>
      <c r="N179" s="322">
        <f>G179-M179</f>
        <v>1000000</v>
      </c>
      <c r="O179" s="410">
        <f>M179*100/G179</f>
        <v>0</v>
      </c>
      <c r="P179" s="411" t="s">
        <v>464</v>
      </c>
    </row>
    <row r="180" spans="1:23" s="416" customFormat="1" ht="42" x14ac:dyDescent="0.35">
      <c r="A180" s="413"/>
      <c r="B180" s="414"/>
      <c r="C180" s="414"/>
      <c r="D180" s="409" t="s">
        <v>541</v>
      </c>
      <c r="E180" s="322">
        <f>E181</f>
        <v>3900000</v>
      </c>
      <c r="F180" s="322"/>
      <c r="G180" s="322">
        <f>G181</f>
        <v>3900000</v>
      </c>
      <c r="H180" s="322"/>
      <c r="I180" s="322"/>
      <c r="J180" s="322"/>
      <c r="K180" s="322">
        <f>K181</f>
        <v>2541000</v>
      </c>
      <c r="L180" s="410">
        <f>L181</f>
        <v>1359000</v>
      </c>
      <c r="M180" s="322">
        <f>M181</f>
        <v>0</v>
      </c>
      <c r="N180" s="322">
        <f>N181</f>
        <v>3900000</v>
      </c>
      <c r="O180" s="322">
        <f>M180*100/G180</f>
        <v>0</v>
      </c>
      <c r="P180" s="417"/>
    </row>
    <row r="181" spans="1:23" s="254" customFormat="1" ht="42" x14ac:dyDescent="0.35">
      <c r="A181" s="255"/>
      <c r="B181" s="256"/>
      <c r="C181" s="256"/>
      <c r="D181" s="283" t="s">
        <v>580</v>
      </c>
      <c r="E181" s="281">
        <v>3900000</v>
      </c>
      <c r="F181" s="281"/>
      <c r="G181" s="281">
        <v>3900000</v>
      </c>
      <c r="H181" s="281"/>
      <c r="I181" s="446" t="s">
        <v>768</v>
      </c>
      <c r="J181" s="348" t="s">
        <v>703</v>
      </c>
      <c r="K181" s="281">
        <v>2541000</v>
      </c>
      <c r="L181" s="281">
        <f>G181-K181</f>
        <v>1359000</v>
      </c>
      <c r="M181" s="322">
        <v>0</v>
      </c>
      <c r="N181" s="281">
        <f>G181-M181</f>
        <v>3900000</v>
      </c>
      <c r="O181" s="281">
        <f>M181*100/E181</f>
        <v>0</v>
      </c>
      <c r="P181" s="302" t="s">
        <v>464</v>
      </c>
      <c r="Q181" s="416"/>
      <c r="R181" s="416"/>
      <c r="S181" s="416"/>
      <c r="T181" s="416"/>
      <c r="U181" s="416"/>
      <c r="V181" s="416"/>
      <c r="W181" s="416"/>
    </row>
    <row r="182" spans="1:23" s="412" customFormat="1" ht="42" x14ac:dyDescent="0.35">
      <c r="A182" s="407"/>
      <c r="B182" s="408"/>
      <c r="C182" s="408"/>
      <c r="D182" s="409" t="s">
        <v>564</v>
      </c>
      <c r="E182" s="322">
        <f>E183</f>
        <v>50000000</v>
      </c>
      <c r="F182" s="322"/>
      <c r="G182" s="322">
        <f>G183</f>
        <v>50000000</v>
      </c>
      <c r="H182" s="322"/>
      <c r="I182" s="322"/>
      <c r="J182" s="322"/>
      <c r="K182" s="322">
        <f>K183</f>
        <v>49890000</v>
      </c>
      <c r="L182" s="322">
        <f>L183</f>
        <v>110000</v>
      </c>
      <c r="M182" s="322">
        <f>M183</f>
        <v>7483500</v>
      </c>
      <c r="N182" s="322">
        <f>N183</f>
        <v>42516500</v>
      </c>
      <c r="O182" s="457">
        <f>M182*100/G182</f>
        <v>14.967000000000001</v>
      </c>
      <c r="P182" s="411"/>
    </row>
    <row r="183" spans="1:23" ht="42" x14ac:dyDescent="0.35">
      <c r="A183" s="269"/>
      <c r="B183" s="270"/>
      <c r="C183" s="270"/>
      <c r="D183" s="285" t="s">
        <v>542</v>
      </c>
      <c r="E183" s="281">
        <v>50000000</v>
      </c>
      <c r="F183" s="281"/>
      <c r="G183" s="281">
        <v>50000000</v>
      </c>
      <c r="H183" s="281"/>
      <c r="I183" s="281"/>
      <c r="J183" s="281"/>
      <c r="K183" s="281">
        <v>49890000</v>
      </c>
      <c r="L183" s="281">
        <f>G183-K183</f>
        <v>110000</v>
      </c>
      <c r="M183" s="322">
        <v>7483500</v>
      </c>
      <c r="N183" s="281">
        <f>G183-M183</f>
        <v>42516500</v>
      </c>
      <c r="O183" s="456">
        <f>M183*100/G183</f>
        <v>14.967000000000001</v>
      </c>
      <c r="P183" s="302" t="s">
        <v>529</v>
      </c>
      <c r="Q183" s="412"/>
      <c r="R183" s="412"/>
      <c r="S183" s="412"/>
      <c r="T183" s="412"/>
      <c r="U183" s="412"/>
      <c r="V183" s="412"/>
      <c r="W183" s="412"/>
    </row>
    <row r="184" spans="1:23" s="420" customFormat="1" ht="42" x14ac:dyDescent="0.35">
      <c r="A184" s="418"/>
      <c r="B184" s="419"/>
      <c r="C184" s="419"/>
      <c r="D184" s="409" t="s">
        <v>543</v>
      </c>
      <c r="E184" s="84">
        <f>E185+E186+E187</f>
        <v>62101000</v>
      </c>
      <c r="F184" s="84"/>
      <c r="G184" s="84">
        <f>G185+G186+G187</f>
        <v>62101000</v>
      </c>
      <c r="H184" s="84"/>
      <c r="I184" s="84"/>
      <c r="J184" s="84"/>
      <c r="K184" s="84">
        <f>K185+K186+K187</f>
        <v>50765000</v>
      </c>
      <c r="L184" s="84">
        <f>L185+L186+L187</f>
        <v>11336000</v>
      </c>
      <c r="M184" s="84">
        <f>M185+M186+M187</f>
        <v>0</v>
      </c>
      <c r="N184" s="84">
        <f>N185+N186+N187</f>
        <v>62101000</v>
      </c>
      <c r="O184" s="84">
        <f t="shared" ref="O184:O190" si="36">M184*100/E184</f>
        <v>0</v>
      </c>
      <c r="P184" s="411"/>
    </row>
    <row r="185" spans="1:23" s="254" customFormat="1" ht="42" x14ac:dyDescent="0.35">
      <c r="A185" s="255"/>
      <c r="B185" s="256"/>
      <c r="C185" s="256"/>
      <c r="D185" s="346" t="s">
        <v>702</v>
      </c>
      <c r="E185" s="281">
        <v>50000000</v>
      </c>
      <c r="F185" s="281"/>
      <c r="G185" s="281">
        <v>50000000</v>
      </c>
      <c r="H185" s="281"/>
      <c r="I185" s="441" t="s">
        <v>772</v>
      </c>
      <c r="J185" s="348" t="s">
        <v>695</v>
      </c>
      <c r="K185" s="281">
        <v>49850000</v>
      </c>
      <c r="L185" s="281">
        <f>G185-K185</f>
        <v>150000</v>
      </c>
      <c r="M185" s="322">
        <v>0</v>
      </c>
      <c r="N185" s="281">
        <f>E185-M185</f>
        <v>50000000</v>
      </c>
      <c r="O185" s="281">
        <f t="shared" si="36"/>
        <v>0</v>
      </c>
      <c r="P185" s="302" t="s">
        <v>464</v>
      </c>
      <c r="Q185" s="416"/>
      <c r="R185" s="416"/>
      <c r="S185" s="416"/>
      <c r="T185" s="416"/>
      <c r="U185" s="416"/>
      <c r="V185" s="416"/>
      <c r="W185" s="416"/>
    </row>
    <row r="186" spans="1:23" s="254" customFormat="1" ht="75" x14ac:dyDescent="0.35">
      <c r="A186" s="287"/>
      <c r="B186" s="288"/>
      <c r="C186" s="288"/>
      <c r="D186" s="289" t="s">
        <v>600</v>
      </c>
      <c r="E186" s="281">
        <v>920000</v>
      </c>
      <c r="F186" s="281"/>
      <c r="G186" s="281">
        <v>920000</v>
      </c>
      <c r="H186" s="281"/>
      <c r="I186" s="446" t="s">
        <v>771</v>
      </c>
      <c r="J186" s="348" t="s">
        <v>704</v>
      </c>
      <c r="K186" s="281">
        <v>915000</v>
      </c>
      <c r="L186" s="281">
        <f t="shared" ref="L186:L187" si="37">G186-K186</f>
        <v>5000</v>
      </c>
      <c r="M186" s="322">
        <v>0</v>
      </c>
      <c r="N186" s="281">
        <f>E186-M186</f>
        <v>920000</v>
      </c>
      <c r="O186" s="281">
        <f t="shared" si="36"/>
        <v>0</v>
      </c>
      <c r="P186" s="302" t="s">
        <v>464</v>
      </c>
      <c r="Q186" s="416"/>
      <c r="R186" s="416"/>
      <c r="S186" s="416"/>
      <c r="T186" s="416"/>
      <c r="U186" s="416"/>
      <c r="V186" s="416"/>
      <c r="W186" s="416"/>
    </row>
    <row r="187" spans="1:23" ht="21.75" customHeight="1" x14ac:dyDescent="0.35">
      <c r="A187" s="245"/>
      <c r="B187" s="246"/>
      <c r="C187" s="246"/>
      <c r="D187" s="346" t="s">
        <v>544</v>
      </c>
      <c r="E187" s="281">
        <v>11181000</v>
      </c>
      <c r="F187" s="281"/>
      <c r="G187" s="281">
        <v>11181000</v>
      </c>
      <c r="H187" s="281"/>
      <c r="I187" s="281"/>
      <c r="J187" s="281"/>
      <c r="K187" s="281"/>
      <c r="L187" s="281">
        <f t="shared" si="37"/>
        <v>11181000</v>
      </c>
      <c r="M187" s="322">
        <v>0</v>
      </c>
      <c r="N187" s="281">
        <f>E187-M187</f>
        <v>11181000</v>
      </c>
      <c r="O187" s="281">
        <f t="shared" si="36"/>
        <v>0</v>
      </c>
      <c r="P187" s="302" t="s">
        <v>38</v>
      </c>
      <c r="Q187" s="412"/>
      <c r="R187" s="412"/>
      <c r="S187" s="412"/>
      <c r="T187" s="412"/>
      <c r="U187" s="412"/>
      <c r="V187" s="412"/>
      <c r="W187" s="412"/>
    </row>
    <row r="188" spans="1:23" s="412" customFormat="1" ht="42" x14ac:dyDescent="0.35">
      <c r="A188" s="407"/>
      <c r="B188" s="408"/>
      <c r="C188" s="408"/>
      <c r="D188" s="409" t="s">
        <v>581</v>
      </c>
      <c r="E188" s="322">
        <f>E189</f>
        <v>2000000</v>
      </c>
      <c r="F188" s="322"/>
      <c r="G188" s="322">
        <f>G189</f>
        <v>2000000</v>
      </c>
      <c r="H188" s="322"/>
      <c r="I188" s="322"/>
      <c r="J188" s="322"/>
      <c r="K188" s="322">
        <f>K189</f>
        <v>0</v>
      </c>
      <c r="L188" s="322">
        <f>L189</f>
        <v>2000000</v>
      </c>
      <c r="M188" s="322">
        <f>M189</f>
        <v>0</v>
      </c>
      <c r="N188" s="322">
        <f>N189</f>
        <v>2000000</v>
      </c>
      <c r="O188" s="322">
        <f t="shared" si="36"/>
        <v>0</v>
      </c>
      <c r="P188" s="411"/>
    </row>
    <row r="189" spans="1:23" s="412" customFormat="1" ht="21" x14ac:dyDescent="0.35">
      <c r="A189" s="407"/>
      <c r="B189" s="408"/>
      <c r="C189" s="408"/>
      <c r="D189" s="409" t="s">
        <v>545</v>
      </c>
      <c r="E189" s="322">
        <v>2000000</v>
      </c>
      <c r="F189" s="322"/>
      <c r="G189" s="322">
        <v>2000000</v>
      </c>
      <c r="H189" s="322"/>
      <c r="I189" s="322"/>
      <c r="J189" s="322"/>
      <c r="K189" s="322"/>
      <c r="L189" s="322">
        <f>G189-K189</f>
        <v>2000000</v>
      </c>
      <c r="M189" s="322">
        <f t="shared" ref="M189:M205" si="38">M190</f>
        <v>0</v>
      </c>
      <c r="N189" s="322">
        <f>E189-M189</f>
        <v>2000000</v>
      </c>
      <c r="O189" s="322">
        <f t="shared" si="36"/>
        <v>0</v>
      </c>
      <c r="P189" s="411" t="s">
        <v>546</v>
      </c>
    </row>
    <row r="190" spans="1:23" s="412" customFormat="1" ht="42" x14ac:dyDescent="0.35">
      <c r="A190" s="407"/>
      <c r="B190" s="408"/>
      <c r="C190" s="408"/>
      <c r="D190" s="409" t="s">
        <v>582</v>
      </c>
      <c r="E190" s="421">
        <f>E191+E192</f>
        <v>53000000</v>
      </c>
      <c r="F190" s="421"/>
      <c r="G190" s="421">
        <f>G191+G192</f>
        <v>53000000</v>
      </c>
      <c r="H190" s="421"/>
      <c r="I190" s="421"/>
      <c r="J190" s="421"/>
      <c r="K190" s="421">
        <f>K191+K192</f>
        <v>0</v>
      </c>
      <c r="L190" s="435">
        <f>L191+L192</f>
        <v>53000000</v>
      </c>
      <c r="M190" s="322">
        <f t="shared" si="38"/>
        <v>0</v>
      </c>
      <c r="N190" s="421">
        <f>N191+N192</f>
        <v>53000000</v>
      </c>
      <c r="O190" s="421">
        <f t="shared" si="36"/>
        <v>0</v>
      </c>
      <c r="P190" s="417"/>
    </row>
    <row r="191" spans="1:23" ht="38.25" customHeight="1" x14ac:dyDescent="0.35">
      <c r="A191" s="269"/>
      <c r="B191" s="270"/>
      <c r="C191" s="270"/>
      <c r="D191" s="285" t="s">
        <v>547</v>
      </c>
      <c r="E191" s="281">
        <v>49400000</v>
      </c>
      <c r="F191" s="281"/>
      <c r="G191" s="281">
        <v>49400000</v>
      </c>
      <c r="H191" s="281"/>
      <c r="I191" s="281"/>
      <c r="J191" s="281"/>
      <c r="K191" s="281"/>
      <c r="L191" s="281">
        <f>G191-K191</f>
        <v>49400000</v>
      </c>
      <c r="M191" s="322">
        <f t="shared" si="38"/>
        <v>0</v>
      </c>
      <c r="N191" s="281">
        <f>E191-M191</f>
        <v>49400000</v>
      </c>
      <c r="O191" s="281">
        <f>M191*100/G191</f>
        <v>0</v>
      </c>
      <c r="P191" s="302" t="s">
        <v>540</v>
      </c>
      <c r="Q191" s="412"/>
      <c r="R191" s="412"/>
      <c r="S191" s="412"/>
      <c r="T191" s="412"/>
      <c r="U191" s="412"/>
      <c r="V191" s="412"/>
      <c r="W191" s="412"/>
    </row>
    <row r="192" spans="1:23" ht="21" x14ac:dyDescent="0.35">
      <c r="A192" s="269"/>
      <c r="B192" s="270"/>
      <c r="C192" s="270"/>
      <c r="D192" s="285" t="s">
        <v>624</v>
      </c>
      <c r="E192" s="281">
        <v>3600000</v>
      </c>
      <c r="F192" s="281"/>
      <c r="G192" s="281">
        <v>3600000</v>
      </c>
      <c r="H192" s="437" t="s">
        <v>707</v>
      </c>
      <c r="I192" s="281"/>
      <c r="J192" s="281"/>
      <c r="K192" s="281"/>
      <c r="L192" s="281">
        <f>G192-K192</f>
        <v>3600000</v>
      </c>
      <c r="M192" s="322">
        <f t="shared" si="38"/>
        <v>0</v>
      </c>
      <c r="N192" s="281">
        <f>E192-M192</f>
        <v>3600000</v>
      </c>
      <c r="O192" s="281">
        <f>M192*100/G192</f>
        <v>0</v>
      </c>
      <c r="P192" s="302"/>
      <c r="Q192" s="412"/>
      <c r="R192" s="412"/>
      <c r="S192" s="412"/>
      <c r="T192" s="412"/>
      <c r="U192" s="412"/>
      <c r="V192" s="412"/>
      <c r="W192" s="412"/>
    </row>
    <row r="193" spans="1:23" s="412" customFormat="1" ht="63" x14ac:dyDescent="0.35">
      <c r="A193" s="422"/>
      <c r="B193" s="423"/>
      <c r="C193" s="423"/>
      <c r="D193" s="424" t="s">
        <v>601</v>
      </c>
      <c r="E193" s="322">
        <v>3005000</v>
      </c>
      <c r="F193" s="322"/>
      <c r="G193" s="322">
        <v>3005000</v>
      </c>
      <c r="H193" s="322"/>
      <c r="I193" s="322"/>
      <c r="J193" s="322"/>
      <c r="K193" s="322"/>
      <c r="L193" s="322">
        <f>G193-K193</f>
        <v>3005000</v>
      </c>
      <c r="M193" s="322">
        <f t="shared" si="38"/>
        <v>0</v>
      </c>
      <c r="N193" s="322">
        <f>E193-M193</f>
        <v>3005000</v>
      </c>
      <c r="O193" s="322">
        <f>M193*100/E193</f>
        <v>0</v>
      </c>
      <c r="P193" s="411" t="s">
        <v>501</v>
      </c>
    </row>
    <row r="194" spans="1:23" s="412" customFormat="1" ht="63" x14ac:dyDescent="0.35">
      <c r="A194" s="407"/>
      <c r="B194" s="408"/>
      <c r="C194" s="408"/>
      <c r="D194" s="409" t="s">
        <v>583</v>
      </c>
      <c r="E194" s="97">
        <f>E195+E196</f>
        <v>28795000</v>
      </c>
      <c r="F194" s="97"/>
      <c r="G194" s="97">
        <f>G195+G196</f>
        <v>28795000</v>
      </c>
      <c r="H194" s="97"/>
      <c r="I194" s="97"/>
      <c r="J194" s="97"/>
      <c r="K194" s="97">
        <f>K195+K196</f>
        <v>0</v>
      </c>
      <c r="L194" s="322">
        <f>L195+L196</f>
        <v>28795000</v>
      </c>
      <c r="M194" s="322">
        <f t="shared" si="38"/>
        <v>0</v>
      </c>
      <c r="N194" s="97">
        <f>N195+N196</f>
        <v>28795000</v>
      </c>
      <c r="O194" s="97">
        <f>M194*100/E194</f>
        <v>0</v>
      </c>
      <c r="P194" s="411"/>
    </row>
    <row r="195" spans="1:23" ht="56.25" x14ac:dyDescent="0.35">
      <c r="A195" s="269"/>
      <c r="B195" s="270"/>
      <c r="C195" s="270"/>
      <c r="D195" s="285" t="s">
        <v>548</v>
      </c>
      <c r="E195" s="284">
        <v>27625000</v>
      </c>
      <c r="F195" s="284"/>
      <c r="G195" s="284">
        <v>27625000</v>
      </c>
      <c r="H195" s="284"/>
      <c r="I195" s="284"/>
      <c r="J195" s="284"/>
      <c r="K195" s="284"/>
      <c r="L195" s="281">
        <f>G195-K195</f>
        <v>27625000</v>
      </c>
      <c r="M195" s="322">
        <f t="shared" si="38"/>
        <v>0</v>
      </c>
      <c r="N195" s="284">
        <f>E195-M195</f>
        <v>27625000</v>
      </c>
      <c r="O195" s="284">
        <f>M195*100/G195</f>
        <v>0</v>
      </c>
      <c r="P195" s="302" t="s">
        <v>501</v>
      </c>
      <c r="Q195" s="412"/>
      <c r="R195" s="412"/>
      <c r="S195" s="412"/>
      <c r="T195" s="412"/>
      <c r="U195" s="412"/>
      <c r="V195" s="412"/>
      <c r="W195" s="412"/>
    </row>
    <row r="196" spans="1:23" ht="21" x14ac:dyDescent="0.35">
      <c r="A196" s="269"/>
      <c r="B196" s="270"/>
      <c r="C196" s="270"/>
      <c r="D196" s="285" t="s">
        <v>549</v>
      </c>
      <c r="E196" s="284">
        <v>1170000</v>
      </c>
      <c r="F196" s="284"/>
      <c r="G196" s="284">
        <v>1170000</v>
      </c>
      <c r="H196" s="284"/>
      <c r="I196" s="284"/>
      <c r="J196" s="284"/>
      <c r="K196" s="284"/>
      <c r="L196" s="281">
        <f>G196-K196</f>
        <v>1170000</v>
      </c>
      <c r="M196" s="322">
        <f t="shared" si="38"/>
        <v>0</v>
      </c>
      <c r="N196" s="284">
        <f>E196-M196</f>
        <v>1170000</v>
      </c>
      <c r="O196" s="338">
        <f>M196*100/G196</f>
        <v>0</v>
      </c>
      <c r="P196" s="302" t="s">
        <v>9</v>
      </c>
      <c r="Q196" s="412"/>
      <c r="R196" s="412"/>
      <c r="S196" s="412"/>
      <c r="T196" s="412"/>
      <c r="U196" s="412"/>
      <c r="V196" s="412"/>
      <c r="W196" s="412"/>
    </row>
    <row r="197" spans="1:23" ht="21" x14ac:dyDescent="0.35">
      <c r="A197" s="290"/>
      <c r="B197" s="529" t="s">
        <v>550</v>
      </c>
      <c r="C197" s="529"/>
      <c r="D197" s="530"/>
      <c r="E197" s="242">
        <f>E198+E199</f>
        <v>2150000</v>
      </c>
      <c r="F197" s="242"/>
      <c r="G197" s="242">
        <f>G198+G199</f>
        <v>2150000</v>
      </c>
      <c r="H197" s="242"/>
      <c r="I197" s="242"/>
      <c r="J197" s="242"/>
      <c r="K197" s="242">
        <f>K198+K199</f>
        <v>1701000</v>
      </c>
      <c r="L197" s="242">
        <f>L198+L199</f>
        <v>449000</v>
      </c>
      <c r="M197" s="344">
        <f>M198+M199</f>
        <v>0</v>
      </c>
      <c r="N197" s="242">
        <f>E197-M197</f>
        <v>2150000</v>
      </c>
      <c r="O197" s="339">
        <f t="shared" ref="O197:O207" si="39">M197*100/E197</f>
        <v>0</v>
      </c>
      <c r="P197" s="303"/>
      <c r="Q197" s="412"/>
      <c r="R197" s="412"/>
      <c r="S197" s="412"/>
      <c r="T197" s="412"/>
      <c r="U197" s="412"/>
      <c r="V197" s="412"/>
      <c r="W197" s="412"/>
    </row>
    <row r="198" spans="1:23" s="357" customFormat="1" ht="42.75" customHeight="1" x14ac:dyDescent="0.35">
      <c r="A198" s="364"/>
      <c r="B198" s="365"/>
      <c r="C198" s="531" t="s">
        <v>584</v>
      </c>
      <c r="D198" s="532"/>
      <c r="E198" s="381">
        <v>1150000</v>
      </c>
      <c r="F198" s="381"/>
      <c r="G198" s="381">
        <v>1150000</v>
      </c>
      <c r="H198" s="381"/>
      <c r="I198" s="381"/>
      <c r="J198" s="381"/>
      <c r="K198" s="381">
        <v>890000</v>
      </c>
      <c r="L198" s="381">
        <f>G198-K198</f>
        <v>260000</v>
      </c>
      <c r="M198" s="381">
        <v>0</v>
      </c>
      <c r="N198" s="381">
        <f>G198-M198</f>
        <v>1150000</v>
      </c>
      <c r="O198" s="403">
        <f t="shared" si="39"/>
        <v>0</v>
      </c>
      <c r="P198" s="367" t="s">
        <v>4</v>
      </c>
      <c r="Q198" s="412"/>
      <c r="R198" s="412"/>
      <c r="S198" s="412"/>
      <c r="T198" s="412"/>
      <c r="U198" s="412"/>
      <c r="V198" s="412"/>
      <c r="W198" s="412"/>
    </row>
    <row r="199" spans="1:23" s="357" customFormat="1" ht="43.5" customHeight="1" x14ac:dyDescent="0.35">
      <c r="A199" s="355"/>
      <c r="B199" s="356"/>
      <c r="C199" s="533" t="s">
        <v>585</v>
      </c>
      <c r="D199" s="534"/>
      <c r="E199" s="398">
        <v>1000000</v>
      </c>
      <c r="F199" s="398"/>
      <c r="G199" s="398">
        <v>1000000</v>
      </c>
      <c r="H199" s="398"/>
      <c r="I199" s="442" t="s">
        <v>760</v>
      </c>
      <c r="J199" s="401" t="s">
        <v>759</v>
      </c>
      <c r="K199" s="398">
        <v>811000</v>
      </c>
      <c r="L199" s="381">
        <f>G199-K199</f>
        <v>189000</v>
      </c>
      <c r="M199" s="381">
        <v>0</v>
      </c>
      <c r="N199" s="381">
        <f>G199-M199</f>
        <v>1000000</v>
      </c>
      <c r="O199" s="403">
        <f t="shared" si="39"/>
        <v>0</v>
      </c>
      <c r="P199" s="367" t="s">
        <v>4</v>
      </c>
      <c r="Q199" s="412"/>
      <c r="R199" s="412"/>
      <c r="S199" s="412"/>
      <c r="T199" s="412"/>
      <c r="U199" s="412"/>
      <c r="V199" s="412"/>
      <c r="W199" s="412"/>
    </row>
    <row r="200" spans="1:23" ht="21" x14ac:dyDescent="0.3">
      <c r="A200" s="535" t="s">
        <v>551</v>
      </c>
      <c r="B200" s="536"/>
      <c r="C200" s="536"/>
      <c r="D200" s="537"/>
      <c r="E200" s="266">
        <f>E201+E203</f>
        <v>8500000</v>
      </c>
      <c r="F200" s="266">
        <f>F203</f>
        <v>7500000</v>
      </c>
      <c r="G200" s="266">
        <f>G201</f>
        <v>1000000</v>
      </c>
      <c r="H200" s="266"/>
      <c r="I200" s="266"/>
      <c r="J200" s="266"/>
      <c r="K200" s="266">
        <f>K201</f>
        <v>0</v>
      </c>
      <c r="L200" s="266">
        <f>L201</f>
        <v>1000000</v>
      </c>
      <c r="M200" s="343">
        <f>M201+M203</f>
        <v>134500</v>
      </c>
      <c r="N200" s="266">
        <f>E200-M200</f>
        <v>8365500</v>
      </c>
      <c r="O200" s="329">
        <f t="shared" si="39"/>
        <v>1.5823529411764705</v>
      </c>
      <c r="P200" s="300"/>
      <c r="Q200" s="412"/>
      <c r="R200" s="412"/>
      <c r="S200" s="412"/>
      <c r="T200" s="412"/>
      <c r="U200" s="412"/>
      <c r="V200" s="412"/>
      <c r="W200" s="412"/>
    </row>
    <row r="201" spans="1:23" s="261" customFormat="1" ht="21" x14ac:dyDescent="0.35">
      <c r="A201" s="267"/>
      <c r="B201" s="529" t="s">
        <v>552</v>
      </c>
      <c r="C201" s="529"/>
      <c r="D201" s="530"/>
      <c r="E201" s="242">
        <f>E202</f>
        <v>1000000</v>
      </c>
      <c r="F201" s="242"/>
      <c r="G201" s="242">
        <f>G202</f>
        <v>1000000</v>
      </c>
      <c r="H201" s="242"/>
      <c r="I201" s="242"/>
      <c r="J201" s="242"/>
      <c r="K201" s="242">
        <f>K202</f>
        <v>0</v>
      </c>
      <c r="L201" s="242">
        <f>L202</f>
        <v>1000000</v>
      </c>
      <c r="M201" s="344">
        <f t="shared" si="38"/>
        <v>0</v>
      </c>
      <c r="N201" s="242">
        <f>E201-M201</f>
        <v>1000000</v>
      </c>
      <c r="O201" s="339">
        <f t="shared" si="39"/>
        <v>0</v>
      </c>
      <c r="P201" s="296"/>
      <c r="Q201" s="455"/>
      <c r="R201" s="455"/>
      <c r="S201" s="455"/>
      <c r="T201" s="455"/>
      <c r="U201" s="455"/>
      <c r="V201" s="455"/>
      <c r="W201" s="455"/>
    </row>
    <row r="202" spans="1:23" s="357" customFormat="1" ht="42" customHeight="1" x14ac:dyDescent="0.35">
      <c r="A202" s="364"/>
      <c r="B202" s="365"/>
      <c r="C202" s="531" t="s">
        <v>553</v>
      </c>
      <c r="D202" s="532"/>
      <c r="E202" s="353">
        <f>G202</f>
        <v>1000000</v>
      </c>
      <c r="F202" s="353"/>
      <c r="G202" s="353">
        <v>1000000</v>
      </c>
      <c r="H202" s="353"/>
      <c r="I202" s="353"/>
      <c r="J202" s="353"/>
      <c r="K202" s="353"/>
      <c r="L202" s="376">
        <f>G202-K202</f>
        <v>1000000</v>
      </c>
      <c r="M202" s="381">
        <v>0</v>
      </c>
      <c r="N202" s="353">
        <f>G202-M202</f>
        <v>1000000</v>
      </c>
      <c r="O202" s="404">
        <f t="shared" si="39"/>
        <v>0</v>
      </c>
      <c r="P202" s="377" t="s">
        <v>554</v>
      </c>
      <c r="Q202" s="412"/>
      <c r="R202" s="412"/>
      <c r="S202" s="412"/>
      <c r="T202" s="412"/>
      <c r="U202" s="412"/>
      <c r="V202" s="412"/>
      <c r="W202" s="412"/>
    </row>
    <row r="203" spans="1:23" ht="21" x14ac:dyDescent="0.35">
      <c r="A203" s="290"/>
      <c r="B203" s="529" t="s">
        <v>555</v>
      </c>
      <c r="C203" s="529"/>
      <c r="D203" s="530"/>
      <c r="E203" s="242">
        <f>E204</f>
        <v>7500000</v>
      </c>
      <c r="F203" s="242">
        <f>F204</f>
        <v>7500000</v>
      </c>
      <c r="G203" s="242"/>
      <c r="H203" s="242"/>
      <c r="I203" s="242"/>
      <c r="J203" s="242"/>
      <c r="K203" s="242">
        <f>K204</f>
        <v>0</v>
      </c>
      <c r="L203" s="242">
        <f>L204</f>
        <v>0</v>
      </c>
      <c r="M203" s="344">
        <f>M204</f>
        <v>134500</v>
      </c>
      <c r="N203" s="242">
        <f>F203-M203</f>
        <v>7365500</v>
      </c>
      <c r="O203" s="339">
        <f t="shared" si="39"/>
        <v>1.7933333333333332</v>
      </c>
      <c r="P203" s="296"/>
      <c r="Q203" s="412"/>
      <c r="R203" s="412"/>
      <c r="S203" s="412"/>
      <c r="T203" s="412"/>
      <c r="U203" s="412"/>
      <c r="V203" s="412"/>
      <c r="W203" s="412"/>
    </row>
    <row r="204" spans="1:23" s="357" customFormat="1" ht="37.5" x14ac:dyDescent="0.35">
      <c r="A204" s="355"/>
      <c r="B204" s="356"/>
      <c r="C204" s="533" t="s">
        <v>556</v>
      </c>
      <c r="D204" s="534"/>
      <c r="E204" s="405">
        <v>7500000</v>
      </c>
      <c r="F204" s="405">
        <v>7500000</v>
      </c>
      <c r="G204" s="405"/>
      <c r="H204" s="405"/>
      <c r="I204" s="405"/>
      <c r="J204" s="405"/>
      <c r="K204" s="405"/>
      <c r="L204" s="406"/>
      <c r="M204" s="381">
        <f>123600+4900+6000</f>
        <v>134500</v>
      </c>
      <c r="N204" s="405">
        <f>F204-M204</f>
        <v>7365500</v>
      </c>
      <c r="O204" s="375">
        <f t="shared" si="39"/>
        <v>1.7933333333333332</v>
      </c>
      <c r="P204" s="367" t="s">
        <v>554</v>
      </c>
      <c r="Q204" s="412"/>
      <c r="R204" s="412"/>
      <c r="S204" s="412"/>
      <c r="T204" s="412"/>
      <c r="U204" s="412"/>
      <c r="V204" s="412"/>
      <c r="W204" s="412"/>
    </row>
    <row r="205" spans="1:23" ht="21" x14ac:dyDescent="0.3">
      <c r="A205" s="535" t="s">
        <v>557</v>
      </c>
      <c r="B205" s="536"/>
      <c r="C205" s="536"/>
      <c r="D205" s="537"/>
      <c r="E205" s="266">
        <f>E206</f>
        <v>18000000</v>
      </c>
      <c r="F205" s="266">
        <f>F206</f>
        <v>18000000</v>
      </c>
      <c r="G205" s="266"/>
      <c r="H205" s="266"/>
      <c r="I205" s="266"/>
      <c r="J205" s="266"/>
      <c r="K205" s="266">
        <f>K206</f>
        <v>0</v>
      </c>
      <c r="L205" s="266">
        <f>L206</f>
        <v>0</v>
      </c>
      <c r="M205" s="343">
        <f t="shared" si="38"/>
        <v>0</v>
      </c>
      <c r="N205" s="266">
        <f>E205-M205</f>
        <v>18000000</v>
      </c>
      <c r="O205" s="266">
        <f t="shared" si="39"/>
        <v>0</v>
      </c>
      <c r="P205" s="294"/>
      <c r="Q205" s="412"/>
      <c r="R205" s="412"/>
      <c r="S205" s="412"/>
      <c r="T205" s="412"/>
      <c r="U205" s="412"/>
      <c r="V205" s="412"/>
      <c r="W205" s="412"/>
    </row>
    <row r="206" spans="1:23" ht="21" x14ac:dyDescent="0.35">
      <c r="A206" s="290"/>
      <c r="B206" s="529" t="s">
        <v>558</v>
      </c>
      <c r="C206" s="529"/>
      <c r="D206" s="530"/>
      <c r="E206" s="242">
        <f>E207+E209</f>
        <v>18000000</v>
      </c>
      <c r="F206" s="242">
        <f>F207+F209</f>
        <v>18000000</v>
      </c>
      <c r="G206" s="242"/>
      <c r="H206" s="242"/>
      <c r="I206" s="242"/>
      <c r="J206" s="242"/>
      <c r="K206" s="242">
        <f>K207+K209</f>
        <v>0</v>
      </c>
      <c r="L206" s="242">
        <f>L207+L209</f>
        <v>0</v>
      </c>
      <c r="M206" s="344">
        <f>M207+M209</f>
        <v>0</v>
      </c>
      <c r="N206" s="242">
        <f>F206-M206</f>
        <v>18000000</v>
      </c>
      <c r="O206" s="242">
        <f t="shared" si="39"/>
        <v>0</v>
      </c>
      <c r="P206" s="296"/>
      <c r="Q206" s="412"/>
      <c r="R206" s="412"/>
      <c r="S206" s="412"/>
      <c r="T206" s="412"/>
      <c r="U206" s="412"/>
      <c r="V206" s="412"/>
      <c r="W206" s="412"/>
    </row>
    <row r="207" spans="1:23" s="357" customFormat="1" ht="24" customHeight="1" x14ac:dyDescent="0.35">
      <c r="A207" s="355"/>
      <c r="B207" s="356"/>
      <c r="C207" s="533" t="s">
        <v>559</v>
      </c>
      <c r="D207" s="534"/>
      <c r="E207" s="405">
        <f>E208</f>
        <v>15000000</v>
      </c>
      <c r="F207" s="405">
        <f>F208</f>
        <v>15000000</v>
      </c>
      <c r="G207" s="405"/>
      <c r="H207" s="405"/>
      <c r="I207" s="405"/>
      <c r="J207" s="405"/>
      <c r="K207" s="405">
        <f>K208</f>
        <v>0</v>
      </c>
      <c r="L207" s="405">
        <f>L208</f>
        <v>0</v>
      </c>
      <c r="M207" s="381">
        <v>0</v>
      </c>
      <c r="N207" s="405">
        <f>N208+N209</f>
        <v>18000000</v>
      </c>
      <c r="O207" s="405">
        <f t="shared" si="39"/>
        <v>0</v>
      </c>
      <c r="P207" s="367"/>
      <c r="Q207" s="412"/>
      <c r="R207" s="412"/>
      <c r="S207" s="412"/>
      <c r="T207" s="412"/>
      <c r="U207" s="412"/>
      <c r="V207" s="412"/>
      <c r="W207" s="412"/>
    </row>
    <row r="208" spans="1:23" ht="61.5" customHeight="1" x14ac:dyDescent="0.35">
      <c r="A208" s="269"/>
      <c r="B208" s="270"/>
      <c r="C208" s="270"/>
      <c r="D208" s="285" t="s">
        <v>560</v>
      </c>
      <c r="E208" s="286">
        <v>15000000</v>
      </c>
      <c r="F208" s="286">
        <v>15000000</v>
      </c>
      <c r="G208" s="286"/>
      <c r="H208" s="286"/>
      <c r="I208" s="286"/>
      <c r="J208" s="286"/>
      <c r="K208" s="286"/>
      <c r="L208" s="286"/>
      <c r="M208" s="322">
        <v>0</v>
      </c>
      <c r="N208" s="286">
        <f>F208-M208</f>
        <v>15000000</v>
      </c>
      <c r="O208" s="286">
        <f>M208*100/F208</f>
        <v>0</v>
      </c>
      <c r="P208" s="302" t="s">
        <v>517</v>
      </c>
      <c r="Q208" s="412"/>
      <c r="R208" s="412"/>
      <c r="S208" s="412"/>
      <c r="T208" s="412"/>
      <c r="U208" s="412"/>
      <c r="V208" s="412"/>
      <c r="W208" s="412"/>
    </row>
    <row r="209" spans="1:23" s="357" customFormat="1" ht="60" customHeight="1" x14ac:dyDescent="0.35">
      <c r="A209" s="355"/>
      <c r="B209" s="356"/>
      <c r="C209" s="533" t="s">
        <v>561</v>
      </c>
      <c r="D209" s="534"/>
      <c r="E209" s="406">
        <v>3000000</v>
      </c>
      <c r="F209" s="406">
        <v>3000000</v>
      </c>
      <c r="G209" s="406"/>
      <c r="H209" s="406"/>
      <c r="I209" s="406"/>
      <c r="J209" s="406"/>
      <c r="K209" s="406"/>
      <c r="L209" s="406">
        <v>0</v>
      </c>
      <c r="M209" s="381">
        <v>0</v>
      </c>
      <c r="N209" s="406">
        <f>F209-M209</f>
        <v>3000000</v>
      </c>
      <c r="O209" s="406">
        <f>M209*100/F209</f>
        <v>0</v>
      </c>
      <c r="P209" s="367" t="s">
        <v>517</v>
      </c>
      <c r="Q209" s="412"/>
      <c r="R209" s="412"/>
      <c r="S209" s="412"/>
      <c r="T209" s="412"/>
      <c r="U209" s="412"/>
      <c r="V209" s="412"/>
      <c r="W209" s="412"/>
    </row>
    <row r="210" spans="1:23" ht="21" x14ac:dyDescent="0.35">
      <c r="A210" s="540" t="s">
        <v>562</v>
      </c>
      <c r="B210" s="541"/>
      <c r="C210" s="541"/>
      <c r="D210" s="542"/>
      <c r="E210" s="234">
        <f>E8+E145</f>
        <v>933802100</v>
      </c>
      <c r="F210" s="234">
        <f t="shared" ref="F210:G210" si="40">F8+F145</f>
        <v>196769400</v>
      </c>
      <c r="G210" s="234">
        <f t="shared" si="40"/>
        <v>737032700</v>
      </c>
      <c r="H210" s="234"/>
      <c r="I210" s="234"/>
      <c r="J210" s="234"/>
      <c r="K210" s="234">
        <f t="shared" ref="K210:L210" si="41">K8+K145</f>
        <v>340955586</v>
      </c>
      <c r="L210" s="234">
        <f t="shared" si="41"/>
        <v>367369614</v>
      </c>
      <c r="M210" s="234">
        <f>M8+M145</f>
        <v>10482640</v>
      </c>
      <c r="N210" s="234">
        <f t="shared" ref="N210" si="42">N8+N145</f>
        <v>923319460</v>
      </c>
      <c r="O210" s="332">
        <f>M210*100/E210</f>
        <v>1.1225761861105259</v>
      </c>
      <c r="P210" s="235"/>
      <c r="Q210" s="412"/>
      <c r="R210" s="412"/>
      <c r="S210" s="412"/>
      <c r="T210" s="412"/>
      <c r="U210" s="412"/>
      <c r="V210" s="412"/>
      <c r="W210" s="412"/>
    </row>
    <row r="211" spans="1:23" x14ac:dyDescent="0.3">
      <c r="Q211" s="412"/>
      <c r="R211" s="412"/>
      <c r="S211" s="412"/>
      <c r="T211" s="412"/>
      <c r="U211" s="412"/>
      <c r="V211" s="412"/>
      <c r="W211" s="412"/>
    </row>
    <row r="212" spans="1:23" x14ac:dyDescent="0.3">
      <c r="A212" s="543"/>
      <c r="B212" s="544"/>
      <c r="C212" s="544"/>
      <c r="D212" s="544"/>
      <c r="E212" s="544"/>
      <c r="F212" s="544"/>
      <c r="G212" s="544"/>
      <c r="H212" s="544"/>
      <c r="I212" s="544"/>
      <c r="J212" s="544"/>
      <c r="K212" s="544"/>
      <c r="L212" s="544"/>
      <c r="M212" s="544"/>
      <c r="N212" s="544"/>
      <c r="O212" s="544"/>
      <c r="P212" s="544"/>
    </row>
  </sheetData>
  <mergeCells count="92">
    <mergeCell ref="A1:P1"/>
    <mergeCell ref="A2:P2"/>
    <mergeCell ref="A3:D3"/>
    <mergeCell ref="E3:P3"/>
    <mergeCell ref="H4:L5"/>
    <mergeCell ref="A4:D6"/>
    <mergeCell ref="P4:P6"/>
    <mergeCell ref="A69:D69"/>
    <mergeCell ref="A7:D7"/>
    <mergeCell ref="A8:D8"/>
    <mergeCell ref="A9:D9"/>
    <mergeCell ref="B10:D10"/>
    <mergeCell ref="C11:D11"/>
    <mergeCell ref="C26:D26"/>
    <mergeCell ref="A31:D31"/>
    <mergeCell ref="B33:D33"/>
    <mergeCell ref="C35:D35"/>
    <mergeCell ref="C51:D51"/>
    <mergeCell ref="C65:D65"/>
    <mergeCell ref="B34:D34"/>
    <mergeCell ref="A32:D32"/>
    <mergeCell ref="C84:D84"/>
    <mergeCell ref="B70:D70"/>
    <mergeCell ref="C71:D71"/>
    <mergeCell ref="B72:D72"/>
    <mergeCell ref="C73:D73"/>
    <mergeCell ref="A74:D74"/>
    <mergeCell ref="B75:D75"/>
    <mergeCell ref="C76:D76"/>
    <mergeCell ref="B80:D80"/>
    <mergeCell ref="C81:D81"/>
    <mergeCell ref="A82:D82"/>
    <mergeCell ref="B83:D83"/>
    <mergeCell ref="A136:D136"/>
    <mergeCell ref="C85:D85"/>
    <mergeCell ref="B86:D86"/>
    <mergeCell ref="C87:D87"/>
    <mergeCell ref="A89:D89"/>
    <mergeCell ref="B90:D90"/>
    <mergeCell ref="C91:D91"/>
    <mergeCell ref="B130:D130"/>
    <mergeCell ref="A132:D132"/>
    <mergeCell ref="A133:D133"/>
    <mergeCell ref="B134:D134"/>
    <mergeCell ref="B135:D135"/>
    <mergeCell ref="A88:B88"/>
    <mergeCell ref="B173:D173"/>
    <mergeCell ref="C148:D148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B147:D147"/>
    <mergeCell ref="C165:D165"/>
    <mergeCell ref="A210:D210"/>
    <mergeCell ref="A212:P212"/>
    <mergeCell ref="E4:G5"/>
    <mergeCell ref="M4:O5"/>
    <mergeCell ref="B203:D203"/>
    <mergeCell ref="C204:D204"/>
    <mergeCell ref="A205:D205"/>
    <mergeCell ref="B206:D206"/>
    <mergeCell ref="C207:D207"/>
    <mergeCell ref="C209:D209"/>
    <mergeCell ref="B197:D197"/>
    <mergeCell ref="C198:D198"/>
    <mergeCell ref="C199:D199"/>
    <mergeCell ref="A200:D200"/>
    <mergeCell ref="C177:D177"/>
    <mergeCell ref="C170:D170"/>
    <mergeCell ref="B201:D201"/>
    <mergeCell ref="C202:D202"/>
    <mergeCell ref="C174:D174"/>
    <mergeCell ref="B176:D176"/>
    <mergeCell ref="B149:D149"/>
    <mergeCell ref="C166:D166"/>
    <mergeCell ref="C167:D167"/>
    <mergeCell ref="C168:D168"/>
    <mergeCell ref="C169:D169"/>
    <mergeCell ref="C150:D150"/>
    <mergeCell ref="A153:D153"/>
    <mergeCell ref="B154:D154"/>
    <mergeCell ref="C155:D155"/>
    <mergeCell ref="C164:D164"/>
    <mergeCell ref="C171:D171"/>
    <mergeCell ref="C172:D172"/>
  </mergeCells>
  <pageMargins left="0.19685039370078741" right="0.19685039370078741" top="0.19685039370078741" bottom="0.19685039370078741" header="0.19685039370078741" footer="0.19685039370078741"/>
  <pageSetup paperSize="9" scale="67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งบจังหวัด60</vt:lpstr>
      <vt:lpstr>งบกลุ่ม60</vt:lpstr>
      <vt:lpstr>งบ 8 ล้าน</vt:lpstr>
      <vt:lpstr>เหมียว 250000</vt:lpstr>
      <vt:lpstr>หน้างบจังหวัด</vt:lpstr>
      <vt:lpstr>งบเร่งด่วน 2 ล้านบาท</vt:lpstr>
      <vt:lpstr>หน้างบกลุ่มจังหวัด</vt:lpstr>
      <vt:lpstr>งบ 60 (เพิ่มเติม)</vt:lpstr>
      <vt:lpstr>Sheet1</vt:lpstr>
      <vt:lpstr>งบจังหวัด60!Print_Area</vt:lpstr>
      <vt:lpstr>'งบ 60 (เพิ่มเติม)'!Print_Titles</vt:lpstr>
      <vt:lpstr>'งบ 8 ล้าน'!Print_Titles</vt:lpstr>
      <vt:lpstr>งบกลุ่ม60!Print_Titles</vt:lpstr>
      <vt:lpstr>งบจังหวัด60!Print_Titles</vt:lpstr>
      <vt:lpstr>หน้างบกลุ่มจังหวัด!Print_Titles</vt:lpstr>
      <vt:lpstr>หน้างบจังหวัด!Print_Titles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com_pc</dc:creator>
  <cp:lastModifiedBy>hp</cp:lastModifiedBy>
  <cp:lastPrinted>2017-05-29T07:03:31Z</cp:lastPrinted>
  <dcterms:created xsi:type="dcterms:W3CDTF">2016-09-06T02:27:04Z</dcterms:created>
  <dcterms:modified xsi:type="dcterms:W3CDTF">2017-05-29T13:10:14Z</dcterms:modified>
</cp:coreProperties>
</file>