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365" windowWidth="18975" windowHeight="3810"/>
  </bookViews>
  <sheets>
    <sheet name="งบจังหวัด60" sheetId="2" r:id="rId1"/>
    <sheet name="งบกลุ่ม60" sheetId="3" r:id="rId2"/>
    <sheet name="งบ 8 ล้าน" sheetId="4" state="hidden" r:id="rId3"/>
    <sheet name="เหมียว 250000" sheetId="5" state="hidden" r:id="rId4"/>
    <sheet name="หน้างบจังหวัด" sheetId="6" state="hidden" r:id="rId5"/>
    <sheet name="งบเร่งด่วน 2 ล้านบาท" sheetId="7" state="hidden" r:id="rId6"/>
    <sheet name="หน้างบกลุ่มจังหวัด" sheetId="8" state="hidden" r:id="rId7"/>
    <sheet name="งบ 60 (เพิ่มเติม)" sheetId="9" state="hidden" r:id="rId8"/>
    <sheet name="Sheet1" sheetId="10" state="hidden" r:id="rId9"/>
    <sheet name="งบเร่งด่วน 1500000 (รอบ 2 )" sheetId="11" state="hidden" r:id="rId10"/>
    <sheet name="60 (เพิ่มเติม) ใหม่" sheetId="12" r:id="rId11"/>
    <sheet name="งบอาหารกลางวัน" sheetId="13" state="hidden" r:id="rId12"/>
    <sheet name="งบ 2500000 (เพิ่มเติม)" sheetId="14" state="hidden" r:id="rId13"/>
    <sheet name="Sheet2" sheetId="15" state="hidden" r:id="rId14"/>
  </sheets>
  <definedNames>
    <definedName name="_xlnm.Print_Area" localSheetId="10">'60 (เพิ่มเติม) ใหม่'!$A$1:$P$210</definedName>
    <definedName name="_xlnm.Print_Area" localSheetId="2">'งบ 8 ล้าน'!$A$1:$I$81</definedName>
    <definedName name="_xlnm.Print_Area" localSheetId="1">งบกลุ่ม60!$A$1:$N$60</definedName>
    <definedName name="_xlnm.Print_Area" localSheetId="0">งบจังหวัด60!$A$1:$N$179</definedName>
    <definedName name="_xlnm.Print_Titles" localSheetId="10">'60 (เพิ่มเติม) ใหม่'!$4:$5</definedName>
    <definedName name="_xlnm.Print_Titles" localSheetId="7">'งบ 60 (เพิ่มเติม)'!$1:$6</definedName>
    <definedName name="_xlnm.Print_Titles" localSheetId="2">'งบ 8 ล้าน'!$4:$6</definedName>
    <definedName name="_xlnm.Print_Titles" localSheetId="1">งบกลุ่ม60!$5:$7</definedName>
    <definedName name="_xlnm.Print_Titles" localSheetId="0">งบจังหวัด60!$5:$7</definedName>
    <definedName name="_xlnm.Print_Titles" localSheetId="6">หน้างบกลุ่มจังหวัด!$4:$6</definedName>
    <definedName name="_xlnm.Print_Titles" localSheetId="4">หน้างบจังหวัด!$8:$9</definedName>
  </definedNames>
  <calcPr calcId="144525"/>
</workbook>
</file>

<file path=xl/calcChain.xml><?xml version="1.0" encoding="utf-8"?>
<calcChain xmlns="http://schemas.openxmlformats.org/spreadsheetml/2006/main">
  <c r="M7" i="3" l="1"/>
  <c r="M52" i="3"/>
  <c r="O1" i="3"/>
  <c r="J48" i="2"/>
  <c r="J55" i="2"/>
  <c r="J15" i="3"/>
  <c r="J49" i="3"/>
  <c r="K49" i="3"/>
  <c r="K25" i="3"/>
  <c r="E76" i="4"/>
  <c r="K13" i="3"/>
  <c r="Q31" i="12"/>
  <c r="M32" i="12"/>
  <c r="K33" i="3"/>
  <c r="K74" i="2"/>
  <c r="K64" i="2"/>
  <c r="K33" i="2"/>
  <c r="M76" i="12"/>
  <c r="K167" i="2"/>
  <c r="K118" i="2"/>
  <c r="K129" i="2"/>
  <c r="K123" i="2"/>
  <c r="K121" i="2"/>
  <c r="K48" i="2"/>
  <c r="L180" i="12" l="1"/>
  <c r="L179" i="12"/>
  <c r="D21" i="14" l="1"/>
  <c r="D17" i="14"/>
  <c r="F19" i="14"/>
  <c r="E19" i="14"/>
  <c r="K108" i="2"/>
  <c r="O13" i="12"/>
  <c r="E44" i="4"/>
  <c r="M199" i="12"/>
  <c r="K22" i="3" l="1"/>
  <c r="M61" i="12"/>
  <c r="K29" i="3"/>
  <c r="D16" i="14"/>
  <c r="M17" i="12" l="1"/>
  <c r="L39" i="2"/>
  <c r="N123" i="12" l="1"/>
  <c r="M123" i="12"/>
  <c r="D7" i="14"/>
  <c r="D8" i="14"/>
  <c r="E30" i="4"/>
  <c r="E74" i="4"/>
  <c r="E73" i="4"/>
  <c r="E72" i="4"/>
  <c r="L171" i="2" l="1"/>
  <c r="N196" i="12" l="1"/>
  <c r="L49" i="3"/>
  <c r="K128" i="2" l="1"/>
  <c r="G77" i="4"/>
  <c r="F77" i="4"/>
  <c r="D6" i="4"/>
  <c r="D9" i="4"/>
  <c r="K12" i="3" l="1"/>
  <c r="L33" i="3"/>
  <c r="K44" i="3"/>
  <c r="L50" i="3"/>
  <c r="J50" i="3"/>
  <c r="K15" i="3" l="1"/>
  <c r="D48" i="2" l="1"/>
  <c r="L51" i="3" l="1"/>
  <c r="J41" i="3"/>
  <c r="J42" i="3"/>
  <c r="L22" i="3"/>
  <c r="K84" i="2" l="1"/>
  <c r="N45" i="12" l="1"/>
  <c r="K92" i="2" l="1"/>
  <c r="K51" i="3"/>
  <c r="E58" i="4"/>
  <c r="D12" i="14"/>
  <c r="D11" i="14"/>
  <c r="M29" i="3"/>
  <c r="K134" i="2"/>
  <c r="L45" i="3" l="1"/>
  <c r="M46" i="12"/>
  <c r="J94" i="2" l="1"/>
  <c r="L25" i="3"/>
  <c r="L29" i="3"/>
  <c r="D78" i="2"/>
  <c r="K78" i="2"/>
  <c r="K55" i="2"/>
  <c r="D55" i="2" l="1"/>
  <c r="F18" i="14" l="1"/>
  <c r="E18" i="14"/>
  <c r="E75" i="4" l="1"/>
  <c r="M68" i="12" l="1"/>
  <c r="M25" i="12"/>
  <c r="E51" i="4"/>
  <c r="M79" i="12"/>
  <c r="M80" i="12" l="1"/>
  <c r="K32" i="3" l="1"/>
  <c r="K139" i="2"/>
  <c r="M178" i="2" l="1"/>
  <c r="L178" i="2"/>
  <c r="M174" i="2"/>
  <c r="M175" i="2"/>
  <c r="M176" i="2"/>
  <c r="M177" i="2"/>
  <c r="M173" i="2"/>
  <c r="L174" i="2"/>
  <c r="L175" i="2"/>
  <c r="L176" i="2"/>
  <c r="L177" i="2"/>
  <c r="L173" i="2"/>
  <c r="K172" i="2"/>
  <c r="M171" i="2"/>
  <c r="M170" i="2"/>
  <c r="K168" i="2"/>
  <c r="M167" i="2"/>
  <c r="L172" i="2" l="1"/>
  <c r="K94" i="2" l="1"/>
  <c r="K43" i="2" l="1"/>
  <c r="D128" i="2" l="1"/>
  <c r="L128" i="2" l="1"/>
  <c r="C174" i="2"/>
  <c r="C175" i="2"/>
  <c r="C176" i="2"/>
  <c r="C177" i="2"/>
  <c r="C173" i="2"/>
  <c r="C172" i="2"/>
  <c r="D172" i="2"/>
  <c r="M172" i="2" s="1"/>
  <c r="C178" i="2"/>
  <c r="J171" i="2"/>
  <c r="C171" i="2"/>
  <c r="C169" i="2"/>
  <c r="C170" i="2"/>
  <c r="C167" i="2"/>
  <c r="E70" i="4"/>
  <c r="G76" i="4"/>
  <c r="F76" i="4"/>
  <c r="D53" i="4"/>
  <c r="D51" i="4"/>
  <c r="E50" i="4"/>
  <c r="F50" i="4" s="1"/>
  <c r="D50" i="4"/>
  <c r="D43" i="4"/>
  <c r="D40" i="4"/>
  <c r="F13" i="4"/>
  <c r="D155" i="2" l="1"/>
  <c r="D11" i="4"/>
  <c r="F11" i="4" s="1"/>
  <c r="E138" i="12" l="1"/>
  <c r="E137" i="12"/>
  <c r="E28" i="4" l="1"/>
  <c r="E26" i="4"/>
  <c r="E59" i="4"/>
  <c r="D15" i="14"/>
  <c r="E38" i="4" l="1"/>
  <c r="D5" i="5"/>
  <c r="E35" i="4"/>
  <c r="L92" i="2" l="1"/>
  <c r="E34" i="4" l="1"/>
  <c r="D20" i="14"/>
  <c r="E36" i="4"/>
  <c r="E37" i="4"/>
  <c r="E33" i="4"/>
  <c r="D9" i="14" l="1"/>
  <c r="C7" i="11"/>
  <c r="H7" i="11"/>
  <c r="G7" i="11"/>
  <c r="E86" i="12" l="1"/>
  <c r="F84" i="12"/>
  <c r="G84" i="12"/>
  <c r="E33" i="12"/>
  <c r="E198" i="12"/>
  <c r="G198" i="12"/>
  <c r="E195" i="12"/>
  <c r="G195" i="12"/>
  <c r="G129" i="12"/>
  <c r="E129" i="12" s="1"/>
  <c r="E128" i="12"/>
  <c r="G128" i="12"/>
  <c r="G90" i="12"/>
  <c r="G89" i="12"/>
  <c r="E73" i="12"/>
  <c r="G73" i="12"/>
  <c r="E72" i="12"/>
  <c r="F72" i="12"/>
  <c r="G59" i="12"/>
  <c r="F47" i="12"/>
  <c r="F45" i="12" s="1"/>
  <c r="G37" i="12"/>
  <c r="G34" i="12"/>
  <c r="G20" i="12"/>
  <c r="E20" i="12" s="1"/>
  <c r="E28" i="12"/>
  <c r="M26" i="12"/>
  <c r="E47" i="4" l="1"/>
  <c r="E52" i="4" l="1"/>
  <c r="F52" i="4" s="1"/>
  <c r="K91" i="2"/>
  <c r="I155" i="2"/>
  <c r="J170" i="2"/>
  <c r="L170" i="2" s="1"/>
  <c r="J169" i="2"/>
  <c r="E168" i="2"/>
  <c r="E164" i="2"/>
  <c r="J164" i="2"/>
  <c r="J155" i="2" l="1"/>
  <c r="M168" i="2"/>
  <c r="C168" i="2"/>
  <c r="J168" i="2"/>
  <c r="L168" i="2" s="1"/>
  <c r="L169" i="2"/>
  <c r="E24" i="4"/>
  <c r="D14" i="14" l="1"/>
  <c r="K45" i="3" l="1"/>
  <c r="L84" i="2"/>
  <c r="D8" i="4"/>
  <c r="D7" i="4" s="1"/>
  <c r="C8" i="4"/>
  <c r="C7" i="4" s="1"/>
  <c r="D39" i="4" l="1"/>
  <c r="C39" i="4"/>
  <c r="G41" i="4"/>
  <c r="F41" i="4"/>
  <c r="E40" i="4"/>
  <c r="E16" i="4"/>
  <c r="E9" i="4"/>
  <c r="G9" i="4" l="1"/>
  <c r="F9" i="4"/>
  <c r="E39" i="4"/>
  <c r="F40" i="4"/>
  <c r="J139" i="2"/>
  <c r="L32" i="3"/>
  <c r="K112" i="2" l="1"/>
  <c r="K120" i="2" l="1"/>
  <c r="N46" i="12" l="1"/>
  <c r="L167" i="2" l="1"/>
  <c r="D57" i="4" l="1"/>
  <c r="D42" i="4"/>
  <c r="K45" i="4" l="1"/>
  <c r="L45" i="4" s="1"/>
  <c r="L200" i="12"/>
  <c r="L199" i="12"/>
  <c r="L196" i="12"/>
  <c r="L194" i="12"/>
  <c r="L192" i="12"/>
  <c r="L188" i="12"/>
  <c r="L189" i="12"/>
  <c r="L187" i="12"/>
  <c r="L185" i="12"/>
  <c r="L175" i="12"/>
  <c r="L173" i="12"/>
  <c r="L171" i="12"/>
  <c r="L162" i="12"/>
  <c r="L163" i="12"/>
  <c r="L164" i="12"/>
  <c r="L165" i="12"/>
  <c r="L166" i="12"/>
  <c r="L167" i="12"/>
  <c r="L168" i="12"/>
  <c r="L169" i="12"/>
  <c r="L161" i="12"/>
  <c r="L151" i="12"/>
  <c r="L131" i="12"/>
  <c r="L132" i="12"/>
  <c r="L133" i="12"/>
  <c r="L130" i="12"/>
  <c r="L126" i="12"/>
  <c r="L127" i="12"/>
  <c r="L125" i="12"/>
  <c r="L63" i="12"/>
  <c r="L38" i="12"/>
  <c r="L39" i="12"/>
  <c r="L40" i="12"/>
  <c r="L41" i="12"/>
  <c r="L42" i="12"/>
  <c r="L43" i="12"/>
  <c r="L44" i="12"/>
  <c r="L36" i="12"/>
  <c r="L35" i="12"/>
  <c r="L27" i="12"/>
  <c r="L28" i="12"/>
  <c r="L26" i="12"/>
  <c r="L25" i="12"/>
  <c r="L11" i="12"/>
  <c r="L12" i="12"/>
  <c r="L13" i="12"/>
  <c r="L15" i="12"/>
  <c r="L16" i="12"/>
  <c r="L18" i="12"/>
  <c r="L19" i="12"/>
  <c r="L21" i="12"/>
  <c r="L22" i="12"/>
  <c r="L23" i="12"/>
  <c r="L10" i="12"/>
  <c r="N10" i="12" s="1"/>
  <c r="D149" i="2" l="1"/>
  <c r="D148" i="2"/>
  <c r="D119" i="2"/>
  <c r="D77" i="2"/>
  <c r="D76" i="2"/>
  <c r="D43" i="2"/>
  <c r="K105" i="2" l="1"/>
  <c r="L43" i="2" l="1"/>
  <c r="L190" i="12" l="1"/>
  <c r="L146" i="12"/>
  <c r="L145" i="12"/>
  <c r="M203" i="12" l="1"/>
  <c r="E10" i="4" l="1"/>
  <c r="F10" i="4" l="1"/>
  <c r="G10" i="4"/>
  <c r="C28" i="6"/>
  <c r="C26" i="6"/>
  <c r="C23" i="6"/>
  <c r="C20" i="6"/>
  <c r="C17" i="6"/>
  <c r="B28" i="6"/>
  <c r="H12" i="11" l="1"/>
  <c r="K12" i="11"/>
  <c r="K88" i="2" l="1"/>
  <c r="L88" i="2" s="1"/>
  <c r="K37" i="3" l="1"/>
  <c r="K60" i="2" l="1"/>
  <c r="M66" i="12"/>
  <c r="K126" i="2" l="1"/>
  <c r="N145" i="12" l="1"/>
  <c r="N146" i="12"/>
  <c r="K164" i="2" l="1"/>
  <c r="K83" i="2" l="1"/>
  <c r="K143" i="2" l="1"/>
  <c r="N190" i="12" l="1"/>
  <c r="K85" i="2" l="1"/>
  <c r="E67" i="4" l="1"/>
  <c r="E19" i="4"/>
  <c r="E18" i="4"/>
  <c r="E17" i="4"/>
  <c r="K12" i="2" l="1"/>
  <c r="E49" i="4" l="1"/>
  <c r="L78" i="12" l="1"/>
  <c r="E31" i="4" l="1"/>
  <c r="E27" i="4"/>
  <c r="L27" i="3" l="1"/>
  <c r="F16" i="14" l="1"/>
  <c r="E16" i="14"/>
  <c r="F20" i="14"/>
  <c r="E20" i="14"/>
  <c r="F17" i="14"/>
  <c r="E17" i="14"/>
  <c r="D6" i="14"/>
  <c r="K69" i="2"/>
  <c r="L34" i="3" l="1"/>
  <c r="L24" i="3"/>
  <c r="L21" i="3"/>
  <c r="L19" i="3"/>
  <c r="J16" i="3"/>
  <c r="L17" i="3"/>
  <c r="L48" i="3"/>
  <c r="L40" i="3"/>
  <c r="L37" i="3"/>
  <c r="L36" i="3" s="1"/>
  <c r="L35" i="3"/>
  <c r="L19" i="2"/>
  <c r="L20" i="2"/>
  <c r="L21" i="2"/>
  <c r="L22" i="2"/>
  <c r="L27" i="2"/>
  <c r="L113" i="2"/>
  <c r="L65" i="2"/>
  <c r="K10" i="2"/>
  <c r="K31" i="2"/>
  <c r="K34" i="2"/>
  <c r="K44" i="2"/>
  <c r="K42" i="2" s="1"/>
  <c r="K49" i="2"/>
  <c r="K47" i="2" s="1"/>
  <c r="K56" i="2"/>
  <c r="K54" i="2" s="1"/>
  <c r="K61" i="2"/>
  <c r="K59" i="2" s="1"/>
  <c r="K65" i="2"/>
  <c r="K70" i="2"/>
  <c r="K68" i="2" s="1"/>
  <c r="L166" i="2"/>
  <c r="C166" i="2"/>
  <c r="E163" i="2"/>
  <c r="L163" i="2" s="1"/>
  <c r="D153" i="2"/>
  <c r="E99" i="2"/>
  <c r="E66" i="2"/>
  <c r="E62" i="2"/>
  <c r="E52" i="2"/>
  <c r="E36" i="2"/>
  <c r="E30" i="2"/>
  <c r="J30" i="2" s="1"/>
  <c r="E29" i="2"/>
  <c r="L29" i="2" s="1"/>
  <c r="E28" i="2"/>
  <c r="L28" i="2" s="1"/>
  <c r="J29" i="2"/>
  <c r="J28" i="2" l="1"/>
  <c r="K63" i="2"/>
  <c r="K58" i="2" s="1"/>
  <c r="K9" i="2"/>
  <c r="L30" i="2"/>
  <c r="K41" i="2"/>
  <c r="C30" i="2"/>
  <c r="G14" i="11" l="1"/>
  <c r="F14" i="11"/>
  <c r="I13" i="11"/>
  <c r="H13" i="11"/>
  <c r="Q129" i="12"/>
  <c r="Q128" i="12"/>
  <c r="Q73" i="12"/>
  <c r="Q72" i="12"/>
  <c r="R196" i="12"/>
  <c r="R44" i="12"/>
  <c r="N17" i="12" l="1"/>
  <c r="N200" i="12"/>
  <c r="N199" i="12"/>
  <c r="N194" i="12"/>
  <c r="N192" i="12"/>
  <c r="N189" i="12"/>
  <c r="N188" i="12"/>
  <c r="N187" i="12"/>
  <c r="N185" i="12"/>
  <c r="N175" i="12"/>
  <c r="N171" i="12"/>
  <c r="N162" i="12"/>
  <c r="N163" i="12"/>
  <c r="N164" i="12"/>
  <c r="N165" i="12"/>
  <c r="N166" i="12"/>
  <c r="N167" i="12"/>
  <c r="N168" i="12"/>
  <c r="N169" i="12"/>
  <c r="N161" i="12"/>
  <c r="N151" i="12"/>
  <c r="N126" i="12"/>
  <c r="N127" i="12"/>
  <c r="N130" i="12"/>
  <c r="N131" i="12"/>
  <c r="N132" i="12"/>
  <c r="N133" i="12"/>
  <c r="N125" i="12"/>
  <c r="N83" i="12"/>
  <c r="N82" i="12"/>
  <c r="N80" i="12"/>
  <c r="N79" i="12"/>
  <c r="N74" i="12"/>
  <c r="N71" i="12" s="1"/>
  <c r="N68" i="12"/>
  <c r="N66" i="12"/>
  <c r="N27" i="12"/>
  <c r="N11" i="12"/>
  <c r="N12" i="12"/>
  <c r="N13" i="12"/>
  <c r="N15" i="12"/>
  <c r="N16" i="12"/>
  <c r="N18" i="12"/>
  <c r="N19" i="12"/>
  <c r="N21" i="12"/>
  <c r="N22" i="12"/>
  <c r="N23" i="12"/>
  <c r="F15" i="14" l="1"/>
  <c r="E15" i="14"/>
  <c r="D13" i="14"/>
  <c r="F14" i="14"/>
  <c r="E14" i="14"/>
  <c r="H8" i="11"/>
  <c r="Q46" i="12" l="1"/>
  <c r="N76" i="12" l="1"/>
  <c r="O26" i="12"/>
  <c r="O25" i="12"/>
  <c r="K43" i="3"/>
  <c r="L129" i="9" l="1"/>
  <c r="L68" i="9"/>
  <c r="L199" i="9"/>
  <c r="L144" i="9"/>
  <c r="N173" i="12" l="1"/>
  <c r="C14" i="11" l="1"/>
  <c r="F12" i="14" l="1"/>
  <c r="F11" i="14"/>
  <c r="E12" i="14"/>
  <c r="D10" i="14"/>
  <c r="E11" i="14"/>
  <c r="K119" i="2"/>
  <c r="E29" i="4"/>
  <c r="F8" i="14" l="1"/>
  <c r="F9" i="14"/>
  <c r="F7" i="14"/>
  <c r="E8" i="14"/>
  <c r="E7" i="14"/>
  <c r="E9" i="14"/>
  <c r="C13" i="14"/>
  <c r="C10" i="14"/>
  <c r="C6" i="14"/>
  <c r="C21" i="14" l="1"/>
  <c r="F21" i="14" s="1"/>
  <c r="F6" i="14"/>
  <c r="F13" i="14"/>
  <c r="E13" i="14"/>
  <c r="E10" i="14"/>
  <c r="F10" i="14"/>
  <c r="E6" i="14"/>
  <c r="E21" i="14" s="1"/>
  <c r="M38" i="9"/>
  <c r="K124" i="2"/>
  <c r="M19" i="9" l="1"/>
  <c r="O190" i="12" l="1"/>
  <c r="O194" i="12"/>
  <c r="O187" i="12"/>
  <c r="O185" i="12"/>
  <c r="O208" i="12"/>
  <c r="O207" i="12"/>
  <c r="O183" i="12"/>
  <c r="O166" i="12"/>
  <c r="O173" i="12"/>
  <c r="O175" i="12"/>
  <c r="O161" i="12"/>
  <c r="O151" i="12"/>
  <c r="O146" i="12"/>
  <c r="O145" i="12"/>
  <c r="O142" i="12"/>
  <c r="O130" i="12"/>
  <c r="O131" i="12"/>
  <c r="O132" i="12"/>
  <c r="O133" i="12"/>
  <c r="O134" i="12"/>
  <c r="O135" i="12"/>
  <c r="O136" i="12"/>
  <c r="O83" i="12"/>
  <c r="O82" i="12"/>
  <c r="O80" i="12"/>
  <c r="O79" i="12"/>
  <c r="O76" i="12"/>
  <c r="O74" i="12"/>
  <c r="O63" i="12"/>
  <c r="O51" i="12"/>
  <c r="O53" i="12"/>
  <c r="O54" i="12"/>
  <c r="O55" i="12"/>
  <c r="O57" i="12"/>
  <c r="O58" i="12"/>
  <c r="O49" i="12"/>
  <c r="O40" i="12"/>
  <c r="O44" i="12"/>
  <c r="O11" i="12"/>
  <c r="O12" i="12"/>
  <c r="O14" i="12"/>
  <c r="O15" i="12"/>
  <c r="O16" i="12"/>
  <c r="O17" i="12"/>
  <c r="O10" i="12"/>
  <c r="D7" i="13" l="1"/>
  <c r="E7" i="13"/>
  <c r="F7" i="13"/>
  <c r="E6" i="13"/>
  <c r="C7" i="13"/>
  <c r="F6" i="13"/>
  <c r="O153" i="9" l="1"/>
  <c r="O170" i="9"/>
  <c r="N188" i="9" l="1"/>
  <c r="O188" i="9"/>
  <c r="E64" i="4" l="1"/>
  <c r="E57" i="4" s="1"/>
  <c r="L134" i="12" l="1"/>
  <c r="N134" i="12" s="1"/>
  <c r="L135" i="12"/>
  <c r="N135" i="12" s="1"/>
  <c r="L136" i="12"/>
  <c r="N136" i="12" s="1"/>
  <c r="N208" i="12"/>
  <c r="N207" i="12"/>
  <c r="N183" i="12"/>
  <c r="N142" i="12"/>
  <c r="N122" i="12"/>
  <c r="M62" i="12"/>
  <c r="L62" i="12"/>
  <c r="K62" i="12"/>
  <c r="M9" i="12"/>
  <c r="K9" i="12"/>
  <c r="M24" i="12"/>
  <c r="K24" i="12"/>
  <c r="M33" i="12"/>
  <c r="K33" i="12"/>
  <c r="K31" i="12" s="1"/>
  <c r="M48" i="12"/>
  <c r="K48" i="12"/>
  <c r="K45" i="12" s="1"/>
  <c r="L65" i="12"/>
  <c r="N65" i="12"/>
  <c r="K65" i="12"/>
  <c r="L67" i="12"/>
  <c r="M67" i="12"/>
  <c r="N67" i="12"/>
  <c r="K67" i="12"/>
  <c r="L71" i="12"/>
  <c r="L70" i="12" s="1"/>
  <c r="M71" i="12"/>
  <c r="N70" i="12"/>
  <c r="K71" i="12"/>
  <c r="K70" i="12" s="1"/>
  <c r="L75" i="12"/>
  <c r="M75" i="12"/>
  <c r="N75" i="12"/>
  <c r="K75" i="12"/>
  <c r="M78" i="12"/>
  <c r="N78" i="12"/>
  <c r="K78" i="12"/>
  <c r="L81" i="12"/>
  <c r="M81" i="12"/>
  <c r="N81" i="12"/>
  <c r="K81" i="12"/>
  <c r="L87" i="12"/>
  <c r="K87" i="12" s="1"/>
  <c r="L88" i="12"/>
  <c r="M88" i="12"/>
  <c r="K88" i="12"/>
  <c r="M92" i="12"/>
  <c r="K92" i="12"/>
  <c r="K91" i="12" s="1"/>
  <c r="L122" i="12"/>
  <c r="M122" i="12"/>
  <c r="K122" i="12"/>
  <c r="M124" i="12"/>
  <c r="K124" i="12"/>
  <c r="L141" i="12"/>
  <c r="L140" i="12" s="1"/>
  <c r="M141" i="12"/>
  <c r="N141" i="12"/>
  <c r="N140" i="12" s="1"/>
  <c r="K141" i="12"/>
  <c r="K140" i="12" s="1"/>
  <c r="L144" i="12"/>
  <c r="M144" i="12"/>
  <c r="K144" i="12"/>
  <c r="L150" i="12"/>
  <c r="M150" i="12"/>
  <c r="N150" i="12"/>
  <c r="K150" i="12"/>
  <c r="M160" i="12"/>
  <c r="K160" i="12"/>
  <c r="L181" i="12"/>
  <c r="M181" i="12"/>
  <c r="N181" i="12"/>
  <c r="K181" i="12"/>
  <c r="M184" i="12"/>
  <c r="K184" i="12"/>
  <c r="L202" i="12"/>
  <c r="L201" i="12" s="1"/>
  <c r="K202" i="12"/>
  <c r="K201" i="12" s="1"/>
  <c r="N205" i="12"/>
  <c r="N204" i="12" s="1"/>
  <c r="M205" i="12"/>
  <c r="L205" i="12"/>
  <c r="L204" i="12" s="1"/>
  <c r="K205" i="12"/>
  <c r="K204" i="12" s="1"/>
  <c r="O203" i="12"/>
  <c r="N28" i="12"/>
  <c r="E26" i="12"/>
  <c r="N26" i="12" s="1"/>
  <c r="E25" i="12"/>
  <c r="N25" i="12" s="1"/>
  <c r="F205" i="12"/>
  <c r="G205" i="12"/>
  <c r="F204" i="12"/>
  <c r="G204" i="12"/>
  <c r="F202" i="12"/>
  <c r="F201" i="12" s="1"/>
  <c r="G202" i="12"/>
  <c r="G201" i="12" s="1"/>
  <c r="F184" i="12"/>
  <c r="G184" i="12"/>
  <c r="F181" i="12"/>
  <c r="G181" i="12"/>
  <c r="F160" i="12"/>
  <c r="G160" i="12"/>
  <c r="F150" i="12"/>
  <c r="G150" i="12"/>
  <c r="F144" i="12"/>
  <c r="G144" i="12"/>
  <c r="F141" i="12"/>
  <c r="F140" i="12" s="1"/>
  <c r="F139" i="12" s="1"/>
  <c r="G141" i="12"/>
  <c r="G140" i="12" s="1"/>
  <c r="F124" i="12"/>
  <c r="G122" i="12"/>
  <c r="F86" i="12"/>
  <c r="F85" i="12" s="1"/>
  <c r="F81" i="12"/>
  <c r="G81" i="12"/>
  <c r="F78" i="12"/>
  <c r="G78" i="12"/>
  <c r="F77" i="12"/>
  <c r="G77" i="12"/>
  <c r="F75" i="12"/>
  <c r="G75" i="12"/>
  <c r="F65" i="12"/>
  <c r="G65" i="12"/>
  <c r="F67" i="12"/>
  <c r="F64" i="12" s="1"/>
  <c r="G67" i="12"/>
  <c r="F9" i="12"/>
  <c r="F8" i="12" s="1"/>
  <c r="F122" i="12"/>
  <c r="G124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93" i="12"/>
  <c r="G92" i="12"/>
  <c r="E92" i="12" s="1"/>
  <c r="E90" i="12"/>
  <c r="E89" i="12"/>
  <c r="G88" i="12"/>
  <c r="E88" i="12" s="1"/>
  <c r="E87" i="12"/>
  <c r="F71" i="12"/>
  <c r="F70" i="12" s="1"/>
  <c r="G71" i="12"/>
  <c r="G70" i="12" s="1"/>
  <c r="E63" i="12"/>
  <c r="E61" i="12"/>
  <c r="O61" i="12" s="1"/>
  <c r="F60" i="12"/>
  <c r="G62" i="12"/>
  <c r="G60" i="12" s="1"/>
  <c r="E46" i="12"/>
  <c r="E50" i="12"/>
  <c r="E51" i="12"/>
  <c r="E52" i="12"/>
  <c r="E53" i="12"/>
  <c r="E54" i="12"/>
  <c r="E55" i="12"/>
  <c r="E56" i="12"/>
  <c r="E57" i="12"/>
  <c r="E58" i="12"/>
  <c r="E59" i="12"/>
  <c r="Q59" i="12" s="1"/>
  <c r="E49" i="12"/>
  <c r="G48" i="12"/>
  <c r="E48" i="12" s="1"/>
  <c r="F31" i="12"/>
  <c r="G33" i="12"/>
  <c r="G31" i="12" s="1"/>
  <c r="E32" i="12"/>
  <c r="E35" i="12"/>
  <c r="N35" i="12" s="1"/>
  <c r="E36" i="12"/>
  <c r="N36" i="12" s="1"/>
  <c r="E37" i="12"/>
  <c r="Q37" i="12" s="1"/>
  <c r="E38" i="12"/>
  <c r="N38" i="12" s="1"/>
  <c r="E39" i="12"/>
  <c r="N39" i="12" s="1"/>
  <c r="E40" i="12"/>
  <c r="N40" i="12" s="1"/>
  <c r="E41" i="12"/>
  <c r="N41" i="12" s="1"/>
  <c r="E42" i="12"/>
  <c r="N42" i="12" s="1"/>
  <c r="E43" i="12"/>
  <c r="N43" i="12" s="1"/>
  <c r="E44" i="12"/>
  <c r="N44" i="12" s="1"/>
  <c r="E34" i="12"/>
  <c r="Q34" i="12" s="1"/>
  <c r="G24" i="12"/>
  <c r="E205" i="12"/>
  <c r="E204" i="12" s="1"/>
  <c r="E202" i="12"/>
  <c r="E201" i="12" s="1"/>
  <c r="E184" i="12"/>
  <c r="E181" i="12"/>
  <c r="E160" i="12"/>
  <c r="E150" i="12"/>
  <c r="E144" i="12"/>
  <c r="E141" i="12"/>
  <c r="E140" i="12" s="1"/>
  <c r="E124" i="12"/>
  <c r="E122" i="12"/>
  <c r="E85" i="12"/>
  <c r="E81" i="12"/>
  <c r="E78" i="12"/>
  <c r="E75" i="12"/>
  <c r="E71" i="12"/>
  <c r="E70" i="12" s="1"/>
  <c r="E67" i="12"/>
  <c r="E65" i="12"/>
  <c r="E9" i="12"/>
  <c r="Q89" i="12" l="1"/>
  <c r="Q90" i="12"/>
  <c r="E60" i="12"/>
  <c r="F69" i="12"/>
  <c r="N24" i="12"/>
  <c r="E139" i="12"/>
  <c r="Q6" i="12"/>
  <c r="L56" i="12"/>
  <c r="N56" i="12" s="1"/>
  <c r="L52" i="12"/>
  <c r="N52" i="12" s="1"/>
  <c r="L50" i="12"/>
  <c r="N50" i="12" s="1"/>
  <c r="L121" i="12"/>
  <c r="N121" i="12" s="1"/>
  <c r="L111" i="12"/>
  <c r="N111" i="12" s="1"/>
  <c r="L107" i="12"/>
  <c r="N107" i="12" s="1"/>
  <c r="F30" i="12"/>
  <c r="F29" i="12" s="1"/>
  <c r="E31" i="12"/>
  <c r="L51" i="12"/>
  <c r="N51" i="12" s="1"/>
  <c r="N63" i="12"/>
  <c r="N62" i="12" s="1"/>
  <c r="L96" i="12"/>
  <c r="N96" i="12" s="1"/>
  <c r="N33" i="12"/>
  <c r="M8" i="12"/>
  <c r="O24" i="12"/>
  <c r="M202" i="12"/>
  <c r="G139" i="12"/>
  <c r="E84" i="12"/>
  <c r="G69" i="12"/>
  <c r="G64" i="12"/>
  <c r="K86" i="12"/>
  <c r="L86" i="12"/>
  <c r="K77" i="12"/>
  <c r="K69" i="12"/>
  <c r="K64" i="12"/>
  <c r="L64" i="12"/>
  <c r="N124" i="12"/>
  <c r="N77" i="12"/>
  <c r="L77" i="12"/>
  <c r="N69" i="12"/>
  <c r="L69" i="12"/>
  <c r="N64" i="12"/>
  <c r="K8" i="12"/>
  <c r="L55" i="12"/>
  <c r="N55" i="12" s="1"/>
  <c r="O87" i="12"/>
  <c r="N87" i="12"/>
  <c r="O93" i="12"/>
  <c r="L93" i="12"/>
  <c r="N93" i="12" s="1"/>
  <c r="O118" i="12"/>
  <c r="L118" i="12"/>
  <c r="N118" i="12" s="1"/>
  <c r="O114" i="12"/>
  <c r="L114" i="12"/>
  <c r="N114" i="12" s="1"/>
  <c r="O110" i="12"/>
  <c r="L110" i="12"/>
  <c r="N110" i="12" s="1"/>
  <c r="O106" i="12"/>
  <c r="L106" i="12"/>
  <c r="N106" i="12" s="1"/>
  <c r="O104" i="12"/>
  <c r="L104" i="12"/>
  <c r="N104" i="12" s="1"/>
  <c r="O100" i="12"/>
  <c r="L100" i="12"/>
  <c r="N100" i="12" s="1"/>
  <c r="O98" i="12"/>
  <c r="L98" i="12"/>
  <c r="N98" i="12" s="1"/>
  <c r="O94" i="12"/>
  <c r="L94" i="12"/>
  <c r="N94" i="12" s="1"/>
  <c r="G91" i="12"/>
  <c r="O66" i="12"/>
  <c r="M65" i="12"/>
  <c r="O205" i="12"/>
  <c r="M204" i="12"/>
  <c r="O204" i="12" s="1"/>
  <c r="O184" i="12"/>
  <c r="N32" i="12"/>
  <c r="G45" i="12"/>
  <c r="E45" i="12" s="1"/>
  <c r="L49" i="12"/>
  <c r="N49" i="12" s="1"/>
  <c r="L58" i="12"/>
  <c r="N58" i="12" s="1"/>
  <c r="L54" i="12"/>
  <c r="N54" i="12" s="1"/>
  <c r="E62" i="12"/>
  <c r="O119" i="12"/>
  <c r="L119" i="12"/>
  <c r="N119" i="12" s="1"/>
  <c r="O117" i="12"/>
  <c r="L117" i="12"/>
  <c r="N117" i="12" s="1"/>
  <c r="O115" i="12"/>
  <c r="L115" i="12"/>
  <c r="N115" i="12" s="1"/>
  <c r="O113" i="12"/>
  <c r="L113" i="12"/>
  <c r="N113" i="12" s="1"/>
  <c r="O109" i="12"/>
  <c r="L109" i="12"/>
  <c r="N109" i="12" s="1"/>
  <c r="O105" i="12"/>
  <c r="L105" i="12"/>
  <c r="N105" i="12" s="1"/>
  <c r="O103" i="12"/>
  <c r="L103" i="12"/>
  <c r="N103" i="12" s="1"/>
  <c r="O101" i="12"/>
  <c r="L101" i="12"/>
  <c r="N101" i="12" s="1"/>
  <c r="O99" i="12"/>
  <c r="L99" i="12"/>
  <c r="N99" i="12" s="1"/>
  <c r="O97" i="12"/>
  <c r="L97" i="12"/>
  <c r="N97" i="12" s="1"/>
  <c r="O95" i="12"/>
  <c r="L95" i="12"/>
  <c r="N95" i="12" s="1"/>
  <c r="G86" i="12"/>
  <c r="O202" i="12"/>
  <c r="M201" i="12"/>
  <c r="O201" i="12" s="1"/>
  <c r="L57" i="12"/>
  <c r="N57" i="12" s="1"/>
  <c r="L53" i="12"/>
  <c r="N53" i="12" s="1"/>
  <c r="O120" i="12"/>
  <c r="L120" i="12"/>
  <c r="N120" i="12" s="1"/>
  <c r="O116" i="12"/>
  <c r="L116" i="12"/>
  <c r="N116" i="12" s="1"/>
  <c r="O112" i="12"/>
  <c r="L112" i="12"/>
  <c r="N112" i="12" s="1"/>
  <c r="O108" i="12"/>
  <c r="L108" i="12"/>
  <c r="N108" i="12" s="1"/>
  <c r="O102" i="12"/>
  <c r="L102" i="12"/>
  <c r="N102" i="12" s="1"/>
  <c r="O32" i="12"/>
  <c r="M31" i="12"/>
  <c r="O31" i="12" s="1"/>
  <c r="O160" i="12"/>
  <c r="O144" i="12"/>
  <c r="O141" i="12"/>
  <c r="M140" i="12"/>
  <c r="O46" i="12"/>
  <c r="O181" i="12"/>
  <c r="O150" i="12"/>
  <c r="O124" i="12"/>
  <c r="O122" i="12"/>
  <c r="M91" i="12"/>
  <c r="M86" i="12"/>
  <c r="M45" i="12"/>
  <c r="O45" i="12" s="1"/>
  <c r="O33" i="12"/>
  <c r="O9" i="12"/>
  <c r="O62" i="12"/>
  <c r="O81" i="12"/>
  <c r="O78" i="12"/>
  <c r="M77" i="12"/>
  <c r="O75" i="12"/>
  <c r="O71" i="12"/>
  <c r="M70" i="12"/>
  <c r="N203" i="12"/>
  <c r="N202" i="12" s="1"/>
  <c r="N201" i="12" s="1"/>
  <c r="L184" i="12"/>
  <c r="L160" i="12"/>
  <c r="K139" i="12"/>
  <c r="L124" i="12"/>
  <c r="K85" i="12"/>
  <c r="K84" i="12" s="1"/>
  <c r="N184" i="12"/>
  <c r="N160" i="12"/>
  <c r="N144" i="12"/>
  <c r="E24" i="12"/>
  <c r="E8" i="12" s="1"/>
  <c r="E64" i="12"/>
  <c r="E69" i="12"/>
  <c r="E77" i="12"/>
  <c r="F7" i="12" l="1"/>
  <c r="F210" i="12" s="1"/>
  <c r="F6" i="12" s="1"/>
  <c r="G30" i="12"/>
  <c r="N31" i="12"/>
  <c r="L139" i="12"/>
  <c r="O8" i="12"/>
  <c r="L33" i="12"/>
  <c r="L31" i="12" s="1"/>
  <c r="O77" i="12"/>
  <c r="O86" i="12"/>
  <c r="M85" i="12"/>
  <c r="O140" i="12"/>
  <c r="M139" i="12"/>
  <c r="O139" i="12" s="1"/>
  <c r="L24" i="12"/>
  <c r="L48" i="12"/>
  <c r="L45" i="12" s="1"/>
  <c r="O65" i="12"/>
  <c r="M64" i="12"/>
  <c r="O64" i="12" s="1"/>
  <c r="G85" i="12"/>
  <c r="N92" i="12"/>
  <c r="N91" i="12" s="1"/>
  <c r="O70" i="12"/>
  <c r="M69" i="12"/>
  <c r="O69" i="12" s="1"/>
  <c r="N48" i="12"/>
  <c r="L92" i="12"/>
  <c r="L91" i="12" s="1"/>
  <c r="L85" i="12" s="1"/>
  <c r="L84" i="12" s="1"/>
  <c r="N88" i="12"/>
  <c r="N86" i="12" s="1"/>
  <c r="N139" i="12"/>
  <c r="G29" i="12" l="1"/>
  <c r="E30" i="12"/>
  <c r="E29" i="12" s="1"/>
  <c r="N85" i="12"/>
  <c r="N84" i="12" s="1"/>
  <c r="M84" i="12"/>
  <c r="O84" i="12" s="1"/>
  <c r="O85" i="12"/>
  <c r="E7" i="12" l="1"/>
  <c r="E210" i="12" s="1"/>
  <c r="K98" i="9"/>
  <c r="L188" i="9" l="1"/>
  <c r="L190" i="9"/>
  <c r="E97" i="9"/>
  <c r="M98" i="9"/>
  <c r="M97" i="9" s="1"/>
  <c r="G98" i="9"/>
  <c r="L165" i="9" l="1"/>
  <c r="L30" i="9"/>
  <c r="K27" i="3" l="1"/>
  <c r="K148" i="2" l="1"/>
  <c r="M71" i="9"/>
  <c r="K157" i="2" l="1"/>
  <c r="H9" i="11" l="1"/>
  <c r="I10" i="11"/>
  <c r="I11" i="11"/>
  <c r="M52" i="9" l="1"/>
  <c r="K137" i="2"/>
  <c r="E56" i="4" l="1"/>
  <c r="F56" i="4" l="1"/>
  <c r="F55" i="4" s="1"/>
  <c r="G56" i="4"/>
  <c r="L46" i="9"/>
  <c r="K149" i="2"/>
  <c r="M203" i="9" l="1"/>
  <c r="K151" i="2" l="1"/>
  <c r="K77" i="2" l="1"/>
  <c r="K89" i="2"/>
  <c r="L89" i="2" s="1"/>
  <c r="L47" i="9" l="1"/>
  <c r="K150" i="2" l="1"/>
  <c r="K35" i="3" l="1"/>
  <c r="E25" i="4" l="1"/>
  <c r="E23" i="4" s="1"/>
  <c r="K87" i="2" l="1"/>
  <c r="L76" i="9" l="1"/>
  <c r="L75" i="9" s="1"/>
  <c r="L206" i="9"/>
  <c r="L205" i="9" s="1"/>
  <c r="L204" i="9" s="1"/>
  <c r="L202" i="9"/>
  <c r="L201" i="9"/>
  <c r="L200" i="9" s="1"/>
  <c r="L198" i="9"/>
  <c r="L197" i="9"/>
  <c r="L187" i="9"/>
  <c r="L185" i="9"/>
  <c r="L184" i="9"/>
  <c r="L182" i="9"/>
  <c r="L181" i="9" s="1"/>
  <c r="L180" i="9"/>
  <c r="L179" i="9" s="1"/>
  <c r="L178" i="9"/>
  <c r="L173" i="9"/>
  <c r="L172" i="9" s="1"/>
  <c r="L155" i="9"/>
  <c r="L156" i="9"/>
  <c r="L157" i="9"/>
  <c r="L158" i="9"/>
  <c r="L159" i="9"/>
  <c r="L160" i="9"/>
  <c r="L161" i="9"/>
  <c r="L162" i="9"/>
  <c r="L163" i="9"/>
  <c r="L164" i="9"/>
  <c r="L166" i="9"/>
  <c r="L167" i="9"/>
  <c r="L168" i="9"/>
  <c r="L169" i="9"/>
  <c r="L170" i="9"/>
  <c r="L171" i="9"/>
  <c r="L154" i="9"/>
  <c r="L146" i="9"/>
  <c r="L137" i="9"/>
  <c r="L138" i="9"/>
  <c r="L139" i="9"/>
  <c r="L140" i="9"/>
  <c r="L141" i="9"/>
  <c r="L142" i="9"/>
  <c r="L143" i="9"/>
  <c r="L132" i="9"/>
  <c r="L128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99" i="9"/>
  <c r="L98" i="9" s="1"/>
  <c r="L97" i="9" s="1"/>
  <c r="L86" i="9"/>
  <c r="L83" i="9"/>
  <c r="L80" i="9"/>
  <c r="L72" i="9"/>
  <c r="L70" i="9"/>
  <c r="L67" i="9"/>
  <c r="L65" i="9" s="1"/>
  <c r="L55" i="9"/>
  <c r="L56" i="9"/>
  <c r="L57" i="9"/>
  <c r="L58" i="9"/>
  <c r="L59" i="9"/>
  <c r="L60" i="9"/>
  <c r="L61" i="9"/>
  <c r="L62" i="9"/>
  <c r="L63" i="9"/>
  <c r="L54" i="9"/>
  <c r="L41" i="9"/>
  <c r="L42" i="9"/>
  <c r="L44" i="9"/>
  <c r="L45" i="9"/>
  <c r="L48" i="9"/>
  <c r="L49" i="9"/>
  <c r="L28" i="9"/>
  <c r="L29" i="9"/>
  <c r="L27" i="9"/>
  <c r="L13" i="9"/>
  <c r="L14" i="9"/>
  <c r="L15" i="9"/>
  <c r="L16" i="9"/>
  <c r="L17" i="9"/>
  <c r="L18" i="9"/>
  <c r="L20" i="9"/>
  <c r="L21" i="9"/>
  <c r="L22" i="9"/>
  <c r="L23" i="9"/>
  <c r="L24" i="9"/>
  <c r="L25" i="9"/>
  <c r="L12" i="9"/>
  <c r="K206" i="9"/>
  <c r="K205" i="9" s="1"/>
  <c r="K204" i="9" s="1"/>
  <c r="K202" i="9"/>
  <c r="K200" i="9"/>
  <c r="K199" i="9" s="1"/>
  <c r="K196" i="9"/>
  <c r="K173" i="9"/>
  <c r="K172" i="9" s="1"/>
  <c r="K153" i="9"/>
  <c r="K149" i="9"/>
  <c r="K148" i="9" s="1"/>
  <c r="K146" i="9"/>
  <c r="K131" i="9"/>
  <c r="K130" i="9" s="1"/>
  <c r="K128" i="9"/>
  <c r="K97" i="9"/>
  <c r="K94" i="9"/>
  <c r="K92" i="9" s="1"/>
  <c r="K86" i="9"/>
  <c r="K83" i="9"/>
  <c r="K80" i="9"/>
  <c r="K76" i="9"/>
  <c r="K75" i="9" s="1"/>
  <c r="K72" i="9"/>
  <c r="K70" i="9"/>
  <c r="K67" i="9"/>
  <c r="K65" i="9" s="1"/>
  <c r="K53" i="9"/>
  <c r="K51" i="9" s="1"/>
  <c r="K39" i="9"/>
  <c r="K37" i="9" s="1"/>
  <c r="K26" i="9"/>
  <c r="K11" i="9"/>
  <c r="K193" i="9"/>
  <c r="K189" i="9"/>
  <c r="K187" i="9"/>
  <c r="K183" i="9"/>
  <c r="K181" i="9"/>
  <c r="K179" i="9"/>
  <c r="L177" i="9"/>
  <c r="L53" i="9" l="1"/>
  <c r="L51" i="9" s="1"/>
  <c r="L189" i="9"/>
  <c r="L196" i="9"/>
  <c r="L94" i="9"/>
  <c r="L92" i="9" s="1"/>
  <c r="L39" i="9"/>
  <c r="L37" i="9" s="1"/>
  <c r="L183" i="9"/>
  <c r="L193" i="9"/>
  <c r="L153" i="9"/>
  <c r="L149" i="9"/>
  <c r="L148" i="9" s="1"/>
  <c r="L145" i="9" s="1"/>
  <c r="L131" i="9"/>
  <c r="L130" i="9" s="1"/>
  <c r="L82" i="9"/>
  <c r="L74" i="9"/>
  <c r="L69" i="9"/>
  <c r="L26" i="9"/>
  <c r="L11" i="9"/>
  <c r="K91" i="9"/>
  <c r="K90" i="9" s="1"/>
  <c r="K89" i="9" s="1"/>
  <c r="K145" i="9"/>
  <c r="K82" i="9"/>
  <c r="K74" i="9"/>
  <c r="K69" i="9"/>
  <c r="K34" i="9"/>
  <c r="K32" i="9" s="1"/>
  <c r="K8" i="9" s="1"/>
  <c r="K10" i="9"/>
  <c r="K9" i="9" s="1"/>
  <c r="K176" i="9"/>
  <c r="K175" i="9" s="1"/>
  <c r="K152" i="9" s="1"/>
  <c r="L91" i="9" l="1"/>
  <c r="L90" i="9" s="1"/>
  <c r="L89" i="9" s="1"/>
  <c r="L34" i="9"/>
  <c r="L32" i="9" s="1"/>
  <c r="L176" i="9"/>
  <c r="L175" i="9" s="1"/>
  <c r="L152" i="9" s="1"/>
  <c r="L10" i="9"/>
  <c r="L9" i="9" s="1"/>
  <c r="K144" i="9"/>
  <c r="L8" i="9" l="1"/>
  <c r="L209" i="9" s="1"/>
  <c r="K209" i="9"/>
  <c r="K7" i="9"/>
  <c r="L7" i="9" l="1"/>
  <c r="M202" i="9"/>
  <c r="M205" i="9" l="1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F153" i="9"/>
  <c r="G153" i="9"/>
  <c r="G172" i="9"/>
  <c r="F146" i="9"/>
  <c r="G146" i="9"/>
  <c r="F148" i="9"/>
  <c r="N151" i="9"/>
  <c r="N150" i="9"/>
  <c r="N147" i="9"/>
  <c r="N146" i="9" s="1"/>
  <c r="N136" i="9"/>
  <c r="N137" i="9"/>
  <c r="N138" i="9"/>
  <c r="N139" i="9"/>
  <c r="N140" i="9"/>
  <c r="N141" i="9"/>
  <c r="N142" i="9"/>
  <c r="N143" i="9"/>
  <c r="N135" i="9"/>
  <c r="O129" i="9"/>
  <c r="N129" i="9"/>
  <c r="N128" i="9" s="1"/>
  <c r="O99" i="9"/>
  <c r="O100" i="9"/>
  <c r="O101" i="9"/>
  <c r="O103" i="9"/>
  <c r="O104" i="9"/>
  <c r="O105" i="9"/>
  <c r="O106" i="9"/>
  <c r="O107" i="9"/>
  <c r="O108" i="9"/>
  <c r="O109" i="9"/>
  <c r="O110" i="9"/>
  <c r="O111" i="9"/>
  <c r="O112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99" i="9"/>
  <c r="O95" i="9"/>
  <c r="O96" i="9"/>
  <c r="O93" i="9"/>
  <c r="N96" i="9"/>
  <c r="N95" i="9"/>
  <c r="N93" i="9"/>
  <c r="O88" i="9"/>
  <c r="N88" i="9"/>
  <c r="O87" i="9"/>
  <c r="N87" i="9"/>
  <c r="O85" i="9"/>
  <c r="O84" i="9"/>
  <c r="N85" i="9"/>
  <c r="N84" i="9"/>
  <c r="O81" i="9"/>
  <c r="N81" i="9"/>
  <c r="N80" i="9" s="1"/>
  <c r="O77" i="9"/>
  <c r="N77" i="9"/>
  <c r="O78" i="9"/>
  <c r="N78" i="9"/>
  <c r="O79" i="9"/>
  <c r="N79" i="9"/>
  <c r="N76" i="9" s="1"/>
  <c r="N75" i="9" s="1"/>
  <c r="N98" i="9" l="1"/>
  <c r="N97" i="9" s="1"/>
  <c r="N86" i="9"/>
  <c r="N74" i="9"/>
  <c r="F145" i="9"/>
  <c r="N149" i="9"/>
  <c r="N148" i="9" s="1"/>
  <c r="N145" i="9" s="1"/>
  <c r="N94" i="9"/>
  <c r="N92" i="9" s="1"/>
  <c r="N83" i="9"/>
  <c r="N82" i="9" s="1"/>
  <c r="N91" i="9" l="1"/>
  <c r="N90" i="9" s="1"/>
  <c r="N89" i="9" s="1"/>
  <c r="E153" i="9"/>
  <c r="O154" i="9"/>
  <c r="N154" i="9"/>
  <c r="N153" i="9" s="1"/>
  <c r="O174" i="9"/>
  <c r="N174" i="9"/>
  <c r="N173" i="9" s="1"/>
  <c r="N172" i="9" s="1"/>
  <c r="O178" i="9"/>
  <c r="O177" i="9"/>
  <c r="N177" i="9"/>
  <c r="N178" i="9"/>
  <c r="O182" i="9"/>
  <c r="N182" i="9"/>
  <c r="N181" i="9" s="1"/>
  <c r="O180" i="9"/>
  <c r="N180" i="9"/>
  <c r="N179" i="9" s="1"/>
  <c r="O186" i="9"/>
  <c r="O184" i="9"/>
  <c r="N185" i="9"/>
  <c r="N186" i="9"/>
  <c r="N184" i="9"/>
  <c r="N183" i="9" l="1"/>
  <c r="O13" i="9"/>
  <c r="O14" i="9"/>
  <c r="O15" i="9"/>
  <c r="O16" i="9"/>
  <c r="O17" i="9"/>
  <c r="O18" i="9"/>
  <c r="O19" i="9"/>
  <c r="O20" i="9"/>
  <c r="O21" i="9"/>
  <c r="O22" i="9"/>
  <c r="O23" i="9"/>
  <c r="O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12" i="9"/>
  <c r="O56" i="9"/>
  <c r="O58" i="9"/>
  <c r="O59" i="9"/>
  <c r="O60" i="9"/>
  <c r="O62" i="9"/>
  <c r="O63" i="9"/>
  <c r="O64" i="9"/>
  <c r="N56" i="9"/>
  <c r="N58" i="9"/>
  <c r="N59" i="9"/>
  <c r="N60" i="9"/>
  <c r="N62" i="9"/>
  <c r="N63" i="9"/>
  <c r="N64" i="9"/>
  <c r="O54" i="9"/>
  <c r="N54" i="9"/>
  <c r="O66" i="9"/>
  <c r="N66" i="9"/>
  <c r="M67" i="9"/>
  <c r="M65" i="9" s="1"/>
  <c r="N11" i="9" l="1"/>
  <c r="N52" i="9" l="1"/>
  <c r="O52" i="9"/>
  <c r="F51" i="9" l="1"/>
  <c r="F65" i="9"/>
  <c r="G67" i="9"/>
  <c r="G65" i="9" s="1"/>
  <c r="F80" i="9"/>
  <c r="G76" i="9"/>
  <c r="G75" i="9" s="1"/>
  <c r="G74" i="9" s="1"/>
  <c r="F76" i="9"/>
  <c r="G83" i="9"/>
  <c r="G82" i="9" s="1"/>
  <c r="F83" i="9"/>
  <c r="F86" i="9"/>
  <c r="E86" i="9" s="1"/>
  <c r="G128" i="9"/>
  <c r="F92" i="9"/>
  <c r="G53" i="9"/>
  <c r="G51" i="9" s="1"/>
  <c r="O41" i="9"/>
  <c r="O42" i="9"/>
  <c r="O43" i="9"/>
  <c r="O44" i="9"/>
  <c r="O45" i="9"/>
  <c r="O46" i="9"/>
  <c r="O49" i="9"/>
  <c r="O50" i="9"/>
  <c r="O40" i="9"/>
  <c r="N41" i="9"/>
  <c r="N42" i="9"/>
  <c r="N43" i="9"/>
  <c r="N44" i="9"/>
  <c r="N45" i="9"/>
  <c r="N46" i="9"/>
  <c r="N47" i="9"/>
  <c r="N48" i="9"/>
  <c r="N49" i="9"/>
  <c r="N50" i="9"/>
  <c r="N40" i="9"/>
  <c r="O38" i="9"/>
  <c r="F37" i="9"/>
  <c r="N38" i="9"/>
  <c r="O29" i="9"/>
  <c r="O30" i="9"/>
  <c r="N29" i="9"/>
  <c r="N30" i="9"/>
  <c r="N28" i="9"/>
  <c r="O27" i="9"/>
  <c r="O28" i="9"/>
  <c r="N27" i="9"/>
  <c r="M26" i="9"/>
  <c r="G39" i="9"/>
  <c r="G37" i="9" s="1"/>
  <c r="E65" i="9" l="1"/>
  <c r="O65" i="9" s="1"/>
  <c r="F91" i="9"/>
  <c r="F82" i="9"/>
  <c r="E76" i="9"/>
  <c r="F75" i="9"/>
  <c r="F90" i="9"/>
  <c r="E75" i="9"/>
  <c r="E83" i="9"/>
  <c r="F74" i="9"/>
  <c r="E74" i="9" s="1"/>
  <c r="E51" i="9"/>
  <c r="E80" i="9"/>
  <c r="O67" i="9"/>
  <c r="N67" i="9"/>
  <c r="N65" i="9" s="1"/>
  <c r="G34" i="9"/>
  <c r="G32" i="9" s="1"/>
  <c r="G35" i="9"/>
  <c r="E37" i="9"/>
  <c r="F35" i="9"/>
  <c r="E35" i="9" s="1"/>
  <c r="F34" i="9"/>
  <c r="F32" i="9" s="1"/>
  <c r="N26" i="9"/>
  <c r="G33" i="9" l="1"/>
  <c r="G31" i="9" s="1"/>
  <c r="E32" i="9"/>
  <c r="F70" i="9" l="1"/>
  <c r="F72" i="9"/>
  <c r="O73" i="9"/>
  <c r="N73" i="9"/>
  <c r="O71" i="9"/>
  <c r="N71" i="9"/>
  <c r="N70" i="9" s="1"/>
  <c r="F69" i="9" l="1"/>
  <c r="E69" i="9" s="1"/>
  <c r="L152" i="2"/>
  <c r="M152" i="2"/>
  <c r="M151" i="2"/>
  <c r="L151" i="2"/>
  <c r="C152" i="2"/>
  <c r="C151" i="2"/>
  <c r="C64" i="4" l="1"/>
  <c r="G64" i="4" s="1"/>
  <c r="F64" i="4"/>
  <c r="M183" i="9" l="1"/>
  <c r="M181" i="9"/>
  <c r="M179" i="9"/>
  <c r="M173" i="9"/>
  <c r="M153" i="9"/>
  <c r="M149" i="9"/>
  <c r="M146" i="9"/>
  <c r="M131" i="9"/>
  <c r="M128" i="9"/>
  <c r="M94" i="9"/>
  <c r="M86" i="9"/>
  <c r="O86" i="9" s="1"/>
  <c r="M83" i="9"/>
  <c r="M80" i="9"/>
  <c r="O80" i="9" s="1"/>
  <c r="M76" i="9"/>
  <c r="M72" i="9"/>
  <c r="M70" i="9"/>
  <c r="M53" i="9"/>
  <c r="M39" i="9"/>
  <c r="M37" i="9" s="1"/>
  <c r="M11" i="9"/>
  <c r="O83" i="9" l="1"/>
  <c r="R12" i="9"/>
  <c r="O37" i="9"/>
  <c r="N37" i="9"/>
  <c r="M148" i="9"/>
  <c r="T12" i="9"/>
  <c r="R19" i="9"/>
  <c r="T19" i="9" s="1"/>
  <c r="M172" i="9"/>
  <c r="M75" i="9"/>
  <c r="O76" i="9"/>
  <c r="M92" i="9"/>
  <c r="M130" i="9"/>
  <c r="M51" i="9"/>
  <c r="M34" i="9" s="1"/>
  <c r="M32" i="9" s="1"/>
  <c r="O32" i="9" s="1"/>
  <c r="N53" i="9"/>
  <c r="O53" i="9"/>
  <c r="M35" i="9"/>
  <c r="O39" i="9"/>
  <c r="N39" i="9"/>
  <c r="M145" i="9"/>
  <c r="M82" i="9"/>
  <c r="R16" i="9" s="1"/>
  <c r="M69" i="9"/>
  <c r="M10" i="9"/>
  <c r="G97" i="9"/>
  <c r="G94" i="9"/>
  <c r="G92" i="9" s="1"/>
  <c r="O94" i="9" l="1"/>
  <c r="G91" i="9"/>
  <c r="E92" i="9"/>
  <c r="M9" i="9"/>
  <c r="R15" i="9" s="1"/>
  <c r="T15" i="9" s="1"/>
  <c r="O92" i="9"/>
  <c r="M74" i="9"/>
  <c r="O74" i="9" s="1"/>
  <c r="O75" i="9"/>
  <c r="O98" i="9"/>
  <c r="N51" i="9"/>
  <c r="O51" i="9"/>
  <c r="M33" i="9"/>
  <c r="M31" i="9" s="1"/>
  <c r="T16" i="9" l="1"/>
  <c r="G90" i="9"/>
  <c r="E91" i="9"/>
  <c r="E68" i="4"/>
  <c r="G89" i="9" l="1"/>
  <c r="E90" i="9"/>
  <c r="K153" i="2"/>
  <c r="F128" i="9" l="1"/>
  <c r="G149" i="9"/>
  <c r="G148" i="9" s="1"/>
  <c r="G145" i="9" s="1"/>
  <c r="F89" i="9" l="1"/>
  <c r="O128" i="9"/>
  <c r="E53" i="4"/>
  <c r="F53" i="4" s="1"/>
  <c r="F173" i="9"/>
  <c r="G179" i="9"/>
  <c r="O179" i="9" s="1"/>
  <c r="G181" i="9"/>
  <c r="O181" i="9" s="1"/>
  <c r="G183" i="9"/>
  <c r="G187" i="9"/>
  <c r="G189" i="9"/>
  <c r="G193" i="9"/>
  <c r="G196" i="9"/>
  <c r="F206" i="9"/>
  <c r="F205" i="9" s="1"/>
  <c r="F204" i="9" s="1"/>
  <c r="F202" i="9"/>
  <c r="F199" i="9" s="1"/>
  <c r="F172" i="9" l="1"/>
  <c r="O173" i="9"/>
  <c r="G176" i="9"/>
  <c r="G175" i="9" s="1"/>
  <c r="G152" i="9" s="1"/>
  <c r="F152" i="9" l="1"/>
  <c r="F144" i="9" s="1"/>
  <c r="O172" i="9"/>
  <c r="O97" i="9" l="1"/>
  <c r="M91" i="9"/>
  <c r="E183" i="9"/>
  <c r="O183" i="9" s="1"/>
  <c r="E206" i="9"/>
  <c r="E205" i="9" s="1"/>
  <c r="E204" i="9" s="1"/>
  <c r="E202" i="9"/>
  <c r="E196" i="9"/>
  <c r="E193" i="9"/>
  <c r="E189" i="9"/>
  <c r="E187" i="9"/>
  <c r="E181" i="9"/>
  <c r="E179" i="9"/>
  <c r="E173" i="9"/>
  <c r="E172" i="9" s="1"/>
  <c r="E146" i="9"/>
  <c r="M90" i="9" l="1"/>
  <c r="O91" i="9"/>
  <c r="M89" i="9" l="1"/>
  <c r="O90" i="9"/>
  <c r="M8" i="9" l="1"/>
  <c r="E151" i="9"/>
  <c r="E71" i="9"/>
  <c r="E73" i="9"/>
  <c r="F33" i="9"/>
  <c r="E33" i="9" s="1"/>
  <c r="G200" i="9"/>
  <c r="G199" i="9" s="1"/>
  <c r="G144" i="9" s="1"/>
  <c r="E144" i="9" s="1"/>
  <c r="E201" i="9"/>
  <c r="E200" i="9" s="1"/>
  <c r="E199" i="9" s="1"/>
  <c r="E178" i="9"/>
  <c r="E177" i="9"/>
  <c r="E34" i="9" l="1"/>
  <c r="N35" i="9"/>
  <c r="N33" i="9" s="1"/>
  <c r="N31" i="9" s="1"/>
  <c r="O35" i="9"/>
  <c r="F31" i="9"/>
  <c r="F8" i="9" s="1"/>
  <c r="O33" i="9"/>
  <c r="E176" i="9"/>
  <c r="E175" i="9" s="1"/>
  <c r="E152" i="9" s="1"/>
  <c r="F7" i="9" l="1"/>
  <c r="F209" i="9"/>
  <c r="N34" i="9"/>
  <c r="N32" i="9" s="1"/>
  <c r="O34" i="9"/>
  <c r="F63" i="4"/>
  <c r="C63" i="4"/>
  <c r="G63" i="4" s="1"/>
  <c r="E48" i="4" l="1"/>
  <c r="K145" i="2" l="1"/>
  <c r="K125" i="2" l="1"/>
  <c r="F49" i="4" l="1"/>
  <c r="G52" i="4"/>
  <c r="C52" i="4"/>
  <c r="K42" i="3" l="1"/>
  <c r="G7" i="7" l="1"/>
  <c r="I13" i="7"/>
  <c r="H13" i="7"/>
  <c r="G14" i="7"/>
  <c r="K81" i="2" l="1"/>
  <c r="H10" i="7"/>
  <c r="I10" i="7"/>
  <c r="H9" i="7" l="1"/>
  <c r="K146" i="2" l="1"/>
  <c r="K156" i="2" l="1"/>
  <c r="M165" i="2" l="1"/>
  <c r="L165" i="2"/>
  <c r="M161" i="2"/>
  <c r="L161" i="2"/>
  <c r="M160" i="2"/>
  <c r="L160" i="2"/>
  <c r="M162" i="2"/>
  <c r="L162" i="2"/>
  <c r="K159" i="2"/>
  <c r="K155" i="2" s="1"/>
  <c r="Q185" i="2" l="1"/>
  <c r="E159" i="2"/>
  <c r="E155" i="2" s="1"/>
  <c r="C155" i="2" s="1"/>
  <c r="E43" i="4" l="1"/>
  <c r="F43" i="4" s="1"/>
  <c r="E150" i="9"/>
  <c r="E149" i="9" s="1"/>
  <c r="E148" i="9" s="1"/>
  <c r="E145" i="9" s="1"/>
  <c r="E42" i="4" l="1"/>
  <c r="G42" i="4" s="1"/>
  <c r="G131" i="9"/>
  <c r="G130" i="9" s="1"/>
  <c r="O130" i="9" s="1"/>
  <c r="E133" i="9"/>
  <c r="E135" i="9"/>
  <c r="O135" i="9" s="1"/>
  <c r="E136" i="9"/>
  <c r="O136" i="9" s="1"/>
  <c r="E137" i="9"/>
  <c r="O137" i="9" s="1"/>
  <c r="E138" i="9"/>
  <c r="O138" i="9" s="1"/>
  <c r="E139" i="9"/>
  <c r="O139" i="9" s="1"/>
  <c r="E140" i="9"/>
  <c r="O140" i="9" s="1"/>
  <c r="E141" i="9"/>
  <c r="O141" i="9" s="1"/>
  <c r="E142" i="9"/>
  <c r="O142" i="9" s="1"/>
  <c r="E143" i="9"/>
  <c r="O143" i="9" s="1"/>
  <c r="E132" i="9"/>
  <c r="E28" i="9"/>
  <c r="E29" i="9"/>
  <c r="E30" i="9"/>
  <c r="E27" i="9"/>
  <c r="G26" i="9"/>
  <c r="O26" i="9" s="1"/>
  <c r="G11" i="9"/>
  <c r="E20" i="9"/>
  <c r="E21" i="9"/>
  <c r="E22" i="9"/>
  <c r="E23" i="9"/>
  <c r="E24" i="9"/>
  <c r="E25" i="9"/>
  <c r="E19" i="9"/>
  <c r="E13" i="9"/>
  <c r="E14" i="9"/>
  <c r="E15" i="9"/>
  <c r="E16" i="9"/>
  <c r="E17" i="9"/>
  <c r="E18" i="9"/>
  <c r="E12" i="9"/>
  <c r="E128" i="9"/>
  <c r="E89" i="9" s="1"/>
  <c r="O89" i="9" s="1"/>
  <c r="E72" i="9"/>
  <c r="E70" i="9"/>
  <c r="O70" i="9" s="1"/>
  <c r="E31" i="9"/>
  <c r="E131" i="9" l="1"/>
  <c r="O131" i="9" s="1"/>
  <c r="N132" i="9"/>
  <c r="O132" i="9"/>
  <c r="O133" i="9"/>
  <c r="N133" i="9"/>
  <c r="O31" i="9"/>
  <c r="O72" i="9"/>
  <c r="N72" i="9"/>
  <c r="N69" i="9" s="1"/>
  <c r="G10" i="9"/>
  <c r="O69" i="9"/>
  <c r="E82" i="9"/>
  <c r="O82" i="9" s="1"/>
  <c r="E11" i="9"/>
  <c r="O11" i="9" s="1"/>
  <c r="E26" i="9"/>
  <c r="G9" i="9" l="1"/>
  <c r="G8" i="9" s="1"/>
  <c r="N10" i="9"/>
  <c r="E130" i="9"/>
  <c r="N131" i="9"/>
  <c r="N130" i="9" s="1"/>
  <c r="G7" i="9"/>
  <c r="E10" i="9"/>
  <c r="O10" i="9" s="1"/>
  <c r="G209" i="9" l="1"/>
  <c r="E9" i="9"/>
  <c r="E8" i="9" l="1"/>
  <c r="N9" i="9"/>
  <c r="O9" i="9"/>
  <c r="E50" i="8"/>
  <c r="C50" i="8" s="1"/>
  <c r="E48" i="8"/>
  <c r="D48" i="8"/>
  <c r="D47" i="8"/>
  <c r="E42" i="8"/>
  <c r="E41" i="8" s="1"/>
  <c r="E39" i="8"/>
  <c r="E38" i="8" s="1"/>
  <c r="D39" i="8"/>
  <c r="C39" i="8"/>
  <c r="D38" i="8"/>
  <c r="E36" i="8"/>
  <c r="D36" i="8"/>
  <c r="E34" i="8"/>
  <c r="D34" i="8"/>
  <c r="C34" i="8" s="1"/>
  <c r="C33" i="8"/>
  <c r="C32" i="8"/>
  <c r="D30" i="8"/>
  <c r="E28" i="8"/>
  <c r="D28" i="8"/>
  <c r="C28" i="8" s="1"/>
  <c r="C27" i="8"/>
  <c r="C26" i="8"/>
  <c r="C25" i="8"/>
  <c r="D23" i="8"/>
  <c r="D21" i="8" s="1"/>
  <c r="E21" i="8"/>
  <c r="D16" i="8"/>
  <c r="E14" i="8"/>
  <c r="E10" i="8" s="1"/>
  <c r="E9" i="8" s="1"/>
  <c r="D14" i="8"/>
  <c r="C14" i="8" s="1"/>
  <c r="B26" i="6"/>
  <c r="N8" i="9" l="1"/>
  <c r="E209" i="9"/>
  <c r="E7" i="9"/>
  <c r="O8" i="9"/>
  <c r="E8" i="8"/>
  <c r="E52" i="8" s="1"/>
  <c r="E47" i="8"/>
  <c r="C21" i="8"/>
  <c r="D10" i="8"/>
  <c r="D9" i="8" s="1"/>
  <c r="D8" i="8" s="1"/>
  <c r="C10" i="8"/>
  <c r="C9" i="8" s="1"/>
  <c r="E7" i="8"/>
  <c r="C36" i="8"/>
  <c r="C41" i="8"/>
  <c r="C38" i="8" s="1"/>
  <c r="C48" i="8"/>
  <c r="C47" i="8" s="1"/>
  <c r="J19" i="2"/>
  <c r="J20" i="2"/>
  <c r="J21" i="2"/>
  <c r="J22" i="2"/>
  <c r="J27" i="2"/>
  <c r="J59" i="2"/>
  <c r="B23" i="6" l="1"/>
  <c r="D52" i="8"/>
  <c r="D7" i="8"/>
  <c r="C7" i="8" s="1"/>
  <c r="C8" i="8"/>
  <c r="C52" i="8" s="1"/>
  <c r="B20" i="6" l="1"/>
  <c r="B17" i="6" l="1"/>
  <c r="C49" i="4"/>
  <c r="G49" i="4" s="1"/>
  <c r="H11" i="7" l="1"/>
  <c r="H12" i="7"/>
  <c r="H8" i="7"/>
  <c r="I8" i="7"/>
  <c r="F14" i="7"/>
  <c r="I11" i="7"/>
  <c r="C14" i="7"/>
  <c r="H14" i="7" l="1"/>
  <c r="H7" i="7"/>
  <c r="M158" i="2"/>
  <c r="L158" i="2"/>
  <c r="E32" i="4" l="1"/>
  <c r="I133" i="2" l="1"/>
  <c r="E114" i="2" l="1"/>
  <c r="E111" i="2"/>
  <c r="L111" i="2" s="1"/>
  <c r="E105" i="2"/>
  <c r="L105" i="2" s="1"/>
  <c r="E104" i="2"/>
  <c r="L104" i="2" s="1"/>
  <c r="E102" i="2"/>
  <c r="E101" i="2"/>
  <c r="E100" i="2"/>
  <c r="E98" i="2"/>
  <c r="E51" i="2"/>
  <c r="E39" i="2"/>
  <c r="E38" i="2"/>
  <c r="E37" i="2"/>
  <c r="E35" i="2"/>
  <c r="E26" i="2"/>
  <c r="L26" i="2" s="1"/>
  <c r="E25" i="2"/>
  <c r="L25" i="2" s="1"/>
  <c r="E24" i="2"/>
  <c r="L24" i="2" s="1"/>
  <c r="E23" i="2"/>
  <c r="L23" i="2" s="1"/>
  <c r="E18" i="2"/>
  <c r="L18" i="2" s="1"/>
  <c r="E17" i="2"/>
  <c r="L17" i="2" s="1"/>
  <c r="E16" i="2"/>
  <c r="L16" i="2" s="1"/>
  <c r="E15" i="2"/>
  <c r="L15" i="2" s="1"/>
  <c r="E14" i="2"/>
  <c r="L14" i="2" s="1"/>
  <c r="E13" i="2"/>
  <c r="L13" i="2" s="1"/>
  <c r="E12" i="2"/>
  <c r="L12" i="2" s="1"/>
  <c r="E11" i="2"/>
  <c r="L11" i="2" s="1"/>
  <c r="C159" i="2"/>
  <c r="C163" i="2"/>
  <c r="C164" i="2"/>
  <c r="C158" i="2"/>
  <c r="L103" i="2" l="1"/>
  <c r="L10" i="2"/>
  <c r="M155" i="2"/>
  <c r="M159" i="2"/>
  <c r="L159" i="2"/>
  <c r="E55" i="4"/>
  <c r="D55" i="4"/>
  <c r="D54" i="4" s="1"/>
  <c r="E61" i="2" l="1"/>
  <c r="E59" i="2" s="1"/>
  <c r="E44" i="2"/>
  <c r="K76" i="2" l="1"/>
  <c r="C157" i="2" l="1"/>
  <c r="M157" i="2" l="1"/>
  <c r="L157" i="2"/>
  <c r="L155" i="2" s="1"/>
  <c r="C156" i="2"/>
  <c r="C55" i="4" l="1"/>
  <c r="C54" i="4" s="1"/>
  <c r="F62" i="4"/>
  <c r="C62" i="4"/>
  <c r="G62" i="4" s="1"/>
  <c r="F61" i="4"/>
  <c r="C61" i="4"/>
  <c r="G61" i="4" s="1"/>
  <c r="C60" i="4"/>
  <c r="G60" i="4" s="1"/>
  <c r="F60" i="4"/>
  <c r="F59" i="4"/>
  <c r="C59" i="4"/>
  <c r="G59" i="4" s="1"/>
  <c r="C48" i="4"/>
  <c r="G48" i="4" s="1"/>
  <c r="F48" i="4"/>
  <c r="F47" i="4"/>
  <c r="C47" i="4"/>
  <c r="G47" i="4" s="1"/>
  <c r="C46" i="4"/>
  <c r="G46" i="4" s="1"/>
  <c r="F46" i="4"/>
  <c r="F45" i="4"/>
  <c r="C45" i="4"/>
  <c r="G45" i="4" s="1"/>
  <c r="M40" i="3" l="1"/>
  <c r="M37" i="3"/>
  <c r="M35" i="3"/>
  <c r="M20" i="3"/>
  <c r="M18" i="3"/>
  <c r="M19" i="3"/>
  <c r="M17" i="3"/>
  <c r="L18" i="3"/>
  <c r="M71" i="2" l="1"/>
  <c r="J67" i="2"/>
  <c r="J31" i="3" l="1"/>
  <c r="K86" i="2" l="1"/>
  <c r="K93" i="2"/>
  <c r="J111" i="2" l="1"/>
  <c r="C46" i="2" l="1"/>
  <c r="C45" i="2"/>
  <c r="C51" i="2"/>
  <c r="C52" i="2"/>
  <c r="C53" i="2"/>
  <c r="C50" i="2"/>
  <c r="C57" i="2"/>
  <c r="C67" i="2"/>
  <c r="C66" i="2"/>
  <c r="C73" i="2"/>
  <c r="C72" i="2"/>
  <c r="C71" i="2"/>
  <c r="C105" i="2"/>
  <c r="C104" i="2"/>
  <c r="C99" i="2"/>
  <c r="C100" i="2"/>
  <c r="C101" i="2"/>
  <c r="C102" i="2"/>
  <c r="C98" i="2"/>
  <c r="C84" i="2"/>
  <c r="C85" i="2"/>
  <c r="C86" i="2"/>
  <c r="C87" i="2"/>
  <c r="C88" i="2"/>
  <c r="C89" i="2"/>
  <c r="C90" i="2"/>
  <c r="C91" i="2"/>
  <c r="C92" i="2"/>
  <c r="C93" i="2"/>
  <c r="C94" i="2"/>
  <c r="C95" i="2"/>
  <c r="C83" i="2"/>
  <c r="C69" i="2"/>
  <c r="C64" i="2"/>
  <c r="C62" i="2"/>
  <c r="C60" i="2"/>
  <c r="C55" i="2"/>
  <c r="C44" i="2"/>
  <c r="C43" i="2"/>
  <c r="C48" i="2"/>
  <c r="C36" i="2"/>
  <c r="C37" i="2"/>
  <c r="C38" i="2"/>
  <c r="C39" i="2"/>
  <c r="C35" i="2"/>
  <c r="C33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2" i="2"/>
  <c r="C13" i="2"/>
  <c r="C14" i="2"/>
  <c r="C15" i="2"/>
  <c r="C16" i="2"/>
  <c r="C11" i="2"/>
  <c r="J60" i="3" l="1"/>
  <c r="C58" i="4" l="1"/>
  <c r="E54" i="4"/>
  <c r="G54" i="4" l="1"/>
  <c r="I49" i="2" l="1"/>
  <c r="I47" i="2" s="1"/>
  <c r="I44" i="2"/>
  <c r="I42" i="2" s="1"/>
  <c r="J46" i="2"/>
  <c r="J45" i="2"/>
  <c r="J53" i="2"/>
  <c r="J44" i="2" l="1"/>
  <c r="J42" i="2" s="1"/>
  <c r="J57" i="2"/>
  <c r="J56" i="2" s="1"/>
  <c r="J54" i="2" s="1"/>
  <c r="I56" i="2"/>
  <c r="I54" i="2" l="1"/>
  <c r="J50" i="2"/>
  <c r="I14" i="3" l="1"/>
  <c r="I10" i="3" s="1"/>
  <c r="I39" i="3"/>
  <c r="I38" i="3"/>
  <c r="I36" i="3"/>
  <c r="I34" i="3"/>
  <c r="J30" i="3"/>
  <c r="J28" i="3" s="1"/>
  <c r="I30" i="3"/>
  <c r="I28" i="3" s="1"/>
  <c r="J23" i="3"/>
  <c r="J21" i="3" s="1"/>
  <c r="I23" i="3"/>
  <c r="I21" i="3" s="1"/>
  <c r="I16" i="3"/>
  <c r="J35" i="3"/>
  <c r="J34" i="3" s="1"/>
  <c r="J20" i="3"/>
  <c r="J18" i="3"/>
  <c r="J19" i="3"/>
  <c r="J17" i="3"/>
  <c r="J40" i="3"/>
  <c r="J39" i="3" s="1"/>
  <c r="J38" i="3" s="1"/>
  <c r="J37" i="3"/>
  <c r="J36" i="3" s="1"/>
  <c r="J24" i="3"/>
  <c r="I9" i="3" l="1"/>
  <c r="I8" i="3" s="1"/>
  <c r="J105" i="2"/>
  <c r="J104" i="2"/>
  <c r="J15" i="2"/>
  <c r="E12" i="4" l="1"/>
  <c r="F12" i="4" s="1"/>
  <c r="E56" i="2" l="1"/>
  <c r="D54" i="2"/>
  <c r="C56" i="2" l="1"/>
  <c r="E54" i="2"/>
  <c r="M134" i="2"/>
  <c r="L134" i="2"/>
  <c r="K133" i="2"/>
  <c r="D133" i="2"/>
  <c r="K122" i="2" l="1"/>
  <c r="I48" i="3" l="1"/>
  <c r="I47" i="3" s="1"/>
  <c r="J48" i="3"/>
  <c r="J47" i="3" s="1"/>
  <c r="I7" i="3" l="1"/>
  <c r="I52" i="3"/>
  <c r="J38" i="2"/>
  <c r="J37" i="2"/>
  <c r="J33" i="2"/>
  <c r="J26" i="2"/>
  <c r="J24" i="2"/>
  <c r="J18" i="2"/>
  <c r="J17" i="2"/>
  <c r="J14" i="2"/>
  <c r="J13" i="2"/>
  <c r="I59" i="2"/>
  <c r="D59" i="2"/>
  <c r="D68" i="2" l="1"/>
  <c r="E70" i="2"/>
  <c r="C70" i="2" s="1"/>
  <c r="E65" i="2"/>
  <c r="C65" i="2" s="1"/>
  <c r="J65" i="2"/>
  <c r="J63" i="2" s="1"/>
  <c r="I65" i="2"/>
  <c r="I63" i="2" s="1"/>
  <c r="L72" i="2"/>
  <c r="L73" i="2"/>
  <c r="L71" i="2"/>
  <c r="J70" i="2"/>
  <c r="J68" i="2" s="1"/>
  <c r="I70" i="2"/>
  <c r="I68" i="2" s="1"/>
  <c r="J142" i="2"/>
  <c r="J141" i="2" s="1"/>
  <c r="J140" i="2" s="1"/>
  <c r="I142" i="2"/>
  <c r="I141" i="2" s="1"/>
  <c r="I140" i="2" s="1"/>
  <c r="J138" i="2"/>
  <c r="I138" i="2"/>
  <c r="J136" i="2"/>
  <c r="I136" i="2"/>
  <c r="I132" i="2"/>
  <c r="J127" i="2"/>
  <c r="I127" i="2"/>
  <c r="J117" i="2"/>
  <c r="I117" i="2"/>
  <c r="I116" i="2" s="1"/>
  <c r="I115" i="2" s="1"/>
  <c r="J116" i="2"/>
  <c r="J115" i="2" s="1"/>
  <c r="I113" i="2"/>
  <c r="J110" i="2"/>
  <c r="I110" i="2"/>
  <c r="I109" i="2" s="1"/>
  <c r="J107" i="2"/>
  <c r="I107" i="2"/>
  <c r="I106" i="2" s="1"/>
  <c r="J106" i="2"/>
  <c r="J103" i="2"/>
  <c r="I103" i="2"/>
  <c r="I97" i="2"/>
  <c r="J82" i="2"/>
  <c r="I82" i="2"/>
  <c r="J80" i="2"/>
  <c r="I80" i="2"/>
  <c r="J75" i="2"/>
  <c r="I75" i="2"/>
  <c r="I41" i="2"/>
  <c r="J31" i="2"/>
  <c r="I31" i="2"/>
  <c r="I34" i="2"/>
  <c r="I10" i="2"/>
  <c r="J114" i="2"/>
  <c r="J113" i="2" s="1"/>
  <c r="J100" i="2"/>
  <c r="J101" i="2"/>
  <c r="J102" i="2"/>
  <c r="J98" i="2"/>
  <c r="J51" i="2"/>
  <c r="J35" i="2"/>
  <c r="J25" i="2"/>
  <c r="J23" i="2"/>
  <c r="J16" i="2"/>
  <c r="J12" i="2"/>
  <c r="J11" i="2"/>
  <c r="J135" i="2"/>
  <c r="J133" i="2" s="1"/>
  <c r="J132" i="2" s="1"/>
  <c r="L70" i="2" l="1"/>
  <c r="I79" i="2"/>
  <c r="J79" i="2"/>
  <c r="J131" i="2"/>
  <c r="J130" i="2" s="1"/>
  <c r="J34" i="2"/>
  <c r="J49" i="2"/>
  <c r="J47" i="2" s="1"/>
  <c r="J41" i="2" s="1"/>
  <c r="I96" i="2"/>
  <c r="E63" i="2"/>
  <c r="E68" i="2"/>
  <c r="J10" i="2"/>
  <c r="M70" i="2"/>
  <c r="J109" i="2"/>
  <c r="J97" i="2"/>
  <c r="J96" i="2" s="1"/>
  <c r="I131" i="2"/>
  <c r="I130" i="2" s="1"/>
  <c r="J58" i="2"/>
  <c r="I9" i="2"/>
  <c r="I58" i="2"/>
  <c r="I40" i="2" s="1"/>
  <c r="J9" i="2" l="1"/>
  <c r="J40" i="2"/>
  <c r="I8" i="2"/>
  <c r="I7" i="2" l="1"/>
  <c r="I179" i="2"/>
  <c r="J8" i="2"/>
  <c r="J179" i="2" l="1"/>
  <c r="J7" i="2"/>
  <c r="D6" i="5"/>
  <c r="C6" i="5"/>
  <c r="F5" i="5"/>
  <c r="F6" i="5" s="1"/>
  <c r="E5" i="5"/>
  <c r="E6" i="5" s="1"/>
  <c r="C44" i="4" l="1"/>
  <c r="F44" i="4" s="1"/>
  <c r="F42" i="4" s="1"/>
  <c r="G44" i="4" l="1"/>
  <c r="F18" i="4" l="1"/>
  <c r="F19" i="4"/>
  <c r="F26" i="4"/>
  <c r="G12" i="4" l="1"/>
  <c r="G11" i="4"/>
  <c r="E15" i="4"/>
  <c r="E14" i="4" s="1"/>
  <c r="F16" i="4" l="1"/>
  <c r="D42" i="2"/>
  <c r="E49" i="2"/>
  <c r="C49" i="2" s="1"/>
  <c r="D47" i="2"/>
  <c r="E47" i="2" l="1"/>
  <c r="E42" i="2"/>
  <c r="C42" i="2" s="1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F66" i="4" s="1"/>
  <c r="F65" i="4" s="1"/>
  <c r="E66" i="4"/>
  <c r="D66" i="4"/>
  <c r="D65" i="4" s="1"/>
  <c r="C66" i="4"/>
  <c r="G58" i="4"/>
  <c r="F58" i="4"/>
  <c r="F57" i="4" s="1"/>
  <c r="F54" i="4" s="1"/>
  <c r="G57" i="4"/>
  <c r="G55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F32" i="4" s="1"/>
  <c r="D32" i="4"/>
  <c r="C32" i="4"/>
  <c r="G31" i="4"/>
  <c r="F31" i="4"/>
  <c r="G30" i="4"/>
  <c r="F30" i="4"/>
  <c r="G29" i="4"/>
  <c r="F29" i="4"/>
  <c r="G28" i="4"/>
  <c r="F28" i="4"/>
  <c r="G27" i="4"/>
  <c r="F27" i="4"/>
  <c r="G26" i="4"/>
  <c r="G25" i="4"/>
  <c r="F25" i="4"/>
  <c r="G24" i="4"/>
  <c r="F24" i="4"/>
  <c r="D23" i="4"/>
  <c r="C23" i="4"/>
  <c r="G21" i="4"/>
  <c r="F21" i="4"/>
  <c r="F20" i="4" s="1"/>
  <c r="E20" i="4"/>
  <c r="D20" i="4"/>
  <c r="C20" i="4"/>
  <c r="G19" i="4"/>
  <c r="G18" i="4"/>
  <c r="G17" i="4"/>
  <c r="F17" i="4"/>
  <c r="F15" i="4" s="1"/>
  <c r="F14" i="4" s="1"/>
  <c r="D15" i="4"/>
  <c r="D14" i="4" s="1"/>
  <c r="C15" i="4"/>
  <c r="G13" i="4"/>
  <c r="F23" i="4" l="1"/>
  <c r="F22" i="4" s="1"/>
  <c r="F6" i="4" s="1"/>
  <c r="C22" i="4"/>
  <c r="G39" i="4"/>
  <c r="D22" i="4"/>
  <c r="G23" i="4"/>
  <c r="E8" i="4"/>
  <c r="G15" i="4"/>
  <c r="G20" i="4"/>
  <c r="G32" i="4"/>
  <c r="G66" i="4"/>
  <c r="C14" i="4"/>
  <c r="G16" i="4"/>
  <c r="C65" i="4"/>
  <c r="E65" i="4"/>
  <c r="C135" i="2"/>
  <c r="M135" i="2" s="1"/>
  <c r="C6" i="4" l="1"/>
  <c r="F8" i="4"/>
  <c r="F7" i="4" s="1"/>
  <c r="G8" i="4"/>
  <c r="E7" i="4"/>
  <c r="G7" i="4" s="1"/>
  <c r="L135" i="2"/>
  <c r="L133" i="2" s="1"/>
  <c r="L132" i="2" s="1"/>
  <c r="G65" i="4"/>
  <c r="E22" i="4"/>
  <c r="E6" i="4" s="1"/>
  <c r="G14" i="4"/>
  <c r="G6" i="4" l="1"/>
  <c r="G22" i="4"/>
  <c r="K154" i="2" l="1"/>
  <c r="M105" i="2"/>
  <c r="M104" i="2"/>
  <c r="M100" i="2"/>
  <c r="M101" i="2"/>
  <c r="M102" i="2"/>
  <c r="M98" i="2"/>
  <c r="L102" i="2"/>
  <c r="L97" i="2" s="1"/>
  <c r="L96" i="2" s="1"/>
  <c r="M84" i="2"/>
  <c r="M85" i="2"/>
  <c r="M86" i="2"/>
  <c r="M87" i="2"/>
  <c r="M90" i="2"/>
  <c r="M91" i="2"/>
  <c r="M93" i="2"/>
  <c r="M95" i="2"/>
  <c r="M83" i="2"/>
  <c r="L85" i="2"/>
  <c r="L86" i="2"/>
  <c r="L87" i="2"/>
  <c r="L90" i="2"/>
  <c r="L91" i="2"/>
  <c r="L93" i="2"/>
  <c r="L95" i="2"/>
  <c r="L83" i="2"/>
  <c r="E31" i="2"/>
  <c r="C31" i="2" s="1"/>
  <c r="D142" i="2"/>
  <c r="E141" i="2"/>
  <c r="E140" i="2" s="1"/>
  <c r="D138" i="2"/>
  <c r="E138" i="2"/>
  <c r="D136" i="2"/>
  <c r="E136" i="2"/>
  <c r="D132" i="2"/>
  <c r="D131" i="2" s="1"/>
  <c r="D130" i="2" s="1"/>
  <c r="D127" i="2"/>
  <c r="E127" i="2"/>
  <c r="D117" i="2"/>
  <c r="E117" i="2"/>
  <c r="D116" i="2"/>
  <c r="E116" i="2"/>
  <c r="D115" i="2"/>
  <c r="E115" i="2"/>
  <c r="D113" i="2"/>
  <c r="E113" i="2"/>
  <c r="D110" i="2"/>
  <c r="E110" i="2"/>
  <c r="D109" i="2"/>
  <c r="D107" i="2"/>
  <c r="E107" i="2"/>
  <c r="E106" i="2" s="1"/>
  <c r="D106" i="2"/>
  <c r="D103" i="2"/>
  <c r="E103" i="2"/>
  <c r="C103" i="2" s="1"/>
  <c r="D97" i="2"/>
  <c r="D96" i="2" s="1"/>
  <c r="E97" i="2"/>
  <c r="C97" i="2" s="1"/>
  <c r="D82" i="2"/>
  <c r="C82" i="2" s="1"/>
  <c r="D80" i="2"/>
  <c r="D75" i="2"/>
  <c r="C75" i="2" s="1"/>
  <c r="E75" i="2"/>
  <c r="D58" i="2"/>
  <c r="E58" i="2"/>
  <c r="D41" i="2"/>
  <c r="E41" i="2"/>
  <c r="D34" i="2"/>
  <c r="E34" i="2"/>
  <c r="C34" i="2" s="1"/>
  <c r="D10" i="2"/>
  <c r="E10" i="2"/>
  <c r="K50" i="3"/>
  <c r="K48" i="3"/>
  <c r="M44" i="3"/>
  <c r="M45" i="3"/>
  <c r="M46" i="3"/>
  <c r="M43" i="3"/>
  <c r="L44" i="3"/>
  <c r="L46" i="3"/>
  <c r="L43" i="3"/>
  <c r="K41" i="3"/>
  <c r="K39" i="3"/>
  <c r="M39" i="3" s="1"/>
  <c r="K36" i="3"/>
  <c r="K34" i="3"/>
  <c r="M33" i="3"/>
  <c r="M32" i="3"/>
  <c r="K30" i="3"/>
  <c r="M22" i="3"/>
  <c r="K23" i="3"/>
  <c r="L14" i="3"/>
  <c r="K16" i="3"/>
  <c r="K11" i="3"/>
  <c r="L11" i="3" s="1"/>
  <c r="E48" i="3"/>
  <c r="E39" i="3"/>
  <c r="D39" i="3"/>
  <c r="E34" i="3"/>
  <c r="E36" i="3"/>
  <c r="C50" i="3"/>
  <c r="E50" i="3"/>
  <c r="C48" i="3"/>
  <c r="D48" i="3"/>
  <c r="D47" i="3" s="1"/>
  <c r="C32" i="3"/>
  <c r="D36" i="3"/>
  <c r="C36" i="3" s="1"/>
  <c r="D34" i="3"/>
  <c r="C34" i="3" s="1"/>
  <c r="E42" i="3"/>
  <c r="E28" i="3"/>
  <c r="D30" i="3"/>
  <c r="D28" i="3" s="1"/>
  <c r="C28" i="3" s="1"/>
  <c r="C27" i="3"/>
  <c r="C26" i="3"/>
  <c r="M26" i="3" s="1"/>
  <c r="E21" i="3"/>
  <c r="D23" i="3"/>
  <c r="D21" i="3" s="1"/>
  <c r="C21" i="3" s="1"/>
  <c r="D16" i="3"/>
  <c r="J14" i="3" s="1"/>
  <c r="J10" i="3" s="1"/>
  <c r="J9" i="3" s="1"/>
  <c r="J8" i="3" s="1"/>
  <c r="E14" i="3"/>
  <c r="E10" i="3" s="1"/>
  <c r="E9" i="3" s="1"/>
  <c r="E133" i="2"/>
  <c r="E132" i="2" s="1"/>
  <c r="C47" i="3"/>
  <c r="C153" i="2"/>
  <c r="L153" i="2" s="1"/>
  <c r="C150" i="2"/>
  <c r="C149" i="2"/>
  <c r="L149" i="2" s="1"/>
  <c r="C148" i="2"/>
  <c r="L148" i="2" s="1"/>
  <c r="C147" i="2"/>
  <c r="C146" i="2"/>
  <c r="C145" i="2"/>
  <c r="C144" i="2"/>
  <c r="C143" i="2"/>
  <c r="K142" i="2"/>
  <c r="K141" i="2" s="1"/>
  <c r="C139" i="2"/>
  <c r="L139" i="2" s="1"/>
  <c r="K138" i="2"/>
  <c r="C137" i="2"/>
  <c r="K136" i="2"/>
  <c r="C133" i="2"/>
  <c r="K132" i="2"/>
  <c r="C129" i="2"/>
  <c r="C128" i="2"/>
  <c r="K127" i="2"/>
  <c r="C122" i="2"/>
  <c r="C121" i="2"/>
  <c r="C120" i="2"/>
  <c r="C119" i="2"/>
  <c r="L119" i="2" s="1"/>
  <c r="C118" i="2"/>
  <c r="L118" i="2" s="1"/>
  <c r="K117" i="2"/>
  <c r="C114" i="2"/>
  <c r="K113" i="2"/>
  <c r="C112" i="2"/>
  <c r="L112" i="2" s="1"/>
  <c r="C111" i="2"/>
  <c r="K110" i="2"/>
  <c r="C108" i="2"/>
  <c r="K107" i="2"/>
  <c r="K103" i="2"/>
  <c r="K97" i="2"/>
  <c r="K82" i="2"/>
  <c r="C81" i="2"/>
  <c r="L81" i="2" s="1"/>
  <c r="L80" i="2" s="1"/>
  <c r="K80" i="2"/>
  <c r="C78" i="2"/>
  <c r="L78" i="2" s="1"/>
  <c r="C77" i="2"/>
  <c r="L77" i="2" s="1"/>
  <c r="C76" i="2"/>
  <c r="L76" i="2" s="1"/>
  <c r="K75" i="2"/>
  <c r="K40" i="2" s="1"/>
  <c r="C74" i="2"/>
  <c r="M74" i="2" s="1"/>
  <c r="C68" i="2"/>
  <c r="C63" i="2"/>
  <c r="C59" i="2"/>
  <c r="C54" i="2"/>
  <c r="C47" i="2"/>
  <c r="M154" i="2" l="1"/>
  <c r="L75" i="2"/>
  <c r="L82" i="2"/>
  <c r="L79" i="2" s="1"/>
  <c r="J7" i="3"/>
  <c r="J52" i="3"/>
  <c r="E41" i="3"/>
  <c r="E38" i="3" s="1"/>
  <c r="L42" i="3"/>
  <c r="M42" i="3"/>
  <c r="L154" i="2"/>
  <c r="P7" i="3"/>
  <c r="O7" i="3"/>
  <c r="E96" i="2"/>
  <c r="C96" i="2" s="1"/>
  <c r="E9" i="2"/>
  <c r="C9" i="2" s="1"/>
  <c r="M11" i="3"/>
  <c r="C107" i="2"/>
  <c r="C106" i="2" s="1"/>
  <c r="M108" i="2"/>
  <c r="L108" i="2"/>
  <c r="L107" i="2" s="1"/>
  <c r="L106" i="2" s="1"/>
  <c r="E40" i="2"/>
  <c r="C58" i="2"/>
  <c r="K106" i="2"/>
  <c r="C41" i="2"/>
  <c r="D40" i="2"/>
  <c r="M111" i="2"/>
  <c r="K116" i="2"/>
  <c r="M121" i="2"/>
  <c r="L121" i="2"/>
  <c r="M129" i="2"/>
  <c r="L129" i="2"/>
  <c r="C132" i="2"/>
  <c r="M133" i="2"/>
  <c r="C136" i="2"/>
  <c r="L137" i="2"/>
  <c r="L136" i="2" s="1"/>
  <c r="M137" i="2"/>
  <c r="C138" i="2"/>
  <c r="L138" i="2"/>
  <c r="M139" i="2"/>
  <c r="M143" i="2"/>
  <c r="L143" i="2"/>
  <c r="M145" i="2"/>
  <c r="L145" i="2"/>
  <c r="M147" i="2"/>
  <c r="L147" i="2"/>
  <c r="M112" i="2"/>
  <c r="L110" i="2"/>
  <c r="L109" i="2" s="1"/>
  <c r="M118" i="2"/>
  <c r="M120" i="2"/>
  <c r="L120" i="2"/>
  <c r="M122" i="2"/>
  <c r="L122" i="2"/>
  <c r="M128" i="2"/>
  <c r="K140" i="2"/>
  <c r="M144" i="2"/>
  <c r="L144" i="2"/>
  <c r="M146" i="2"/>
  <c r="L146" i="2"/>
  <c r="M150" i="2"/>
  <c r="L150" i="2"/>
  <c r="E109" i="2"/>
  <c r="D141" i="2"/>
  <c r="D140" i="2" s="1"/>
  <c r="C142" i="2"/>
  <c r="M142" i="2" s="1"/>
  <c r="C113" i="2"/>
  <c r="K109" i="2"/>
  <c r="C117" i="2"/>
  <c r="C127" i="2"/>
  <c r="C110" i="2"/>
  <c r="M110" i="2" s="1"/>
  <c r="K79" i="2"/>
  <c r="R8" i="2" s="1"/>
  <c r="M75" i="2"/>
  <c r="D14" i="3"/>
  <c r="E47" i="3"/>
  <c r="K14" i="3"/>
  <c r="L26" i="3"/>
  <c r="L30" i="3"/>
  <c r="L28" i="3" s="1"/>
  <c r="M30" i="3"/>
  <c r="C80" i="2"/>
  <c r="C10" i="2"/>
  <c r="K28" i="3"/>
  <c r="M28" i="3" s="1"/>
  <c r="E131" i="2"/>
  <c r="E130" i="2" s="1"/>
  <c r="L74" i="2"/>
  <c r="M103" i="2"/>
  <c r="M82" i="2"/>
  <c r="D79" i="2"/>
  <c r="C79" i="2" s="1"/>
  <c r="O79" i="2" s="1"/>
  <c r="D9" i="2"/>
  <c r="K47" i="3"/>
  <c r="M41" i="3"/>
  <c r="K38" i="3"/>
  <c r="K21" i="3"/>
  <c r="M21" i="3" s="1"/>
  <c r="C41" i="3"/>
  <c r="C38" i="3" s="1"/>
  <c r="E8" i="3"/>
  <c r="D38" i="3"/>
  <c r="C39" i="3"/>
  <c r="K96" i="2"/>
  <c r="P8" i="2" s="1"/>
  <c r="K131" i="2"/>
  <c r="L131" i="2" l="1"/>
  <c r="L130" i="2" s="1"/>
  <c r="L117" i="2"/>
  <c r="L142" i="2"/>
  <c r="L141" i="2" s="1"/>
  <c r="L140" i="2" s="1"/>
  <c r="L127" i="2"/>
  <c r="M106" i="2"/>
  <c r="L41" i="3"/>
  <c r="L38" i="3" s="1"/>
  <c r="R8" i="3"/>
  <c r="M96" i="2"/>
  <c r="C141" i="2"/>
  <c r="M138" i="2"/>
  <c r="E8" i="2"/>
  <c r="E7" i="2" s="1"/>
  <c r="L47" i="3"/>
  <c r="M107" i="2"/>
  <c r="M132" i="2"/>
  <c r="C131" i="2"/>
  <c r="M131" i="2" s="1"/>
  <c r="M136" i="2"/>
  <c r="C40" i="2"/>
  <c r="M79" i="2"/>
  <c r="M117" i="2"/>
  <c r="K130" i="2"/>
  <c r="M127" i="2"/>
  <c r="K115" i="2"/>
  <c r="M113" i="2"/>
  <c r="C109" i="2"/>
  <c r="M109" i="2" s="1"/>
  <c r="C116" i="2"/>
  <c r="C115" i="2" s="1"/>
  <c r="D8" i="2"/>
  <c r="M38" i="3"/>
  <c r="E52" i="3"/>
  <c r="E7" i="3"/>
  <c r="P8" i="3" s="1"/>
  <c r="D10" i="3"/>
  <c r="D9" i="3" s="1"/>
  <c r="D8" i="3" s="1"/>
  <c r="C14" i="3"/>
  <c r="C10" i="3" s="1"/>
  <c r="C9" i="3" s="1"/>
  <c r="C8" i="3" s="1"/>
  <c r="C52" i="3" s="1"/>
  <c r="K10" i="3"/>
  <c r="M116" i="2" l="1"/>
  <c r="L116" i="2"/>
  <c r="L115" i="2" s="1"/>
  <c r="C140" i="2"/>
  <c r="M140" i="2" s="1"/>
  <c r="O155" i="2"/>
  <c r="M141" i="2"/>
  <c r="E179" i="2"/>
  <c r="D179" i="2"/>
  <c r="D7" i="2"/>
  <c r="K9" i="3"/>
  <c r="K8" i="3" s="1"/>
  <c r="M8" i="3" s="1"/>
  <c r="M10" i="3"/>
  <c r="C130" i="2"/>
  <c r="M115" i="2"/>
  <c r="M130" i="2"/>
  <c r="C8" i="2"/>
  <c r="D7" i="3"/>
  <c r="D52" i="3"/>
  <c r="L10" i="3"/>
  <c r="L9" i="3" s="1"/>
  <c r="L8" i="3" s="1"/>
  <c r="L7" i="3" l="1"/>
  <c r="L52" i="3"/>
  <c r="C7" i="3"/>
  <c r="O8" i="3"/>
  <c r="C7" i="2"/>
  <c r="Q4" i="2" s="1"/>
  <c r="C179" i="2"/>
  <c r="K52" i="3"/>
  <c r="K7" i="3"/>
  <c r="O3" i="3" l="1"/>
  <c r="N208" i="9"/>
  <c r="N207" i="9"/>
  <c r="N206" i="9" l="1"/>
  <c r="O207" i="9"/>
  <c r="O208" i="9"/>
  <c r="O206" i="9" l="1"/>
  <c r="O205" i="9" l="1"/>
  <c r="N205" i="9"/>
  <c r="M204" i="9"/>
  <c r="N204" i="9" l="1"/>
  <c r="O204" i="9"/>
  <c r="N203" i="9" l="1"/>
  <c r="O203" i="9"/>
  <c r="O202" i="9" l="1"/>
  <c r="N202" i="9"/>
  <c r="N201" i="9" l="1"/>
  <c r="O201" i="9"/>
  <c r="M200" i="9"/>
  <c r="M199" i="9" s="1"/>
  <c r="O200" i="9" l="1"/>
  <c r="N200" i="9"/>
  <c r="O199" i="9" l="1"/>
  <c r="N199" i="9"/>
  <c r="N198" i="9" l="1"/>
  <c r="M196" i="9"/>
  <c r="O198" i="9"/>
  <c r="O197" i="9" l="1"/>
  <c r="N197" i="9"/>
  <c r="O196" i="9" l="1"/>
  <c r="M195" i="9"/>
  <c r="N196" i="9"/>
  <c r="N195" i="9" l="1"/>
  <c r="M194" i="9"/>
  <c r="O195" i="9"/>
  <c r="N194" i="9" l="1"/>
  <c r="N193" i="9" s="1"/>
  <c r="O194" i="9"/>
  <c r="M193" i="9"/>
  <c r="O193" i="9" l="1"/>
  <c r="M192" i="9"/>
  <c r="N192" i="9" l="1"/>
  <c r="O192" i="9"/>
  <c r="M191" i="9"/>
  <c r="N191" i="9" l="1"/>
  <c r="O191" i="9"/>
  <c r="M189" i="9" l="1"/>
  <c r="N190" i="9"/>
  <c r="N189" i="9" s="1"/>
  <c r="O190" i="9"/>
  <c r="O189" i="9" l="1"/>
  <c r="N187" i="9" l="1"/>
  <c r="N176" i="9" s="1"/>
  <c r="N175" i="9" s="1"/>
  <c r="N152" i="9" s="1"/>
  <c r="N144" i="9" s="1"/>
  <c r="N209" i="9" s="1"/>
  <c r="M187" i="9"/>
  <c r="M176" i="9" l="1"/>
  <c r="R10" i="9" s="1"/>
  <c r="T10" i="9" s="1"/>
  <c r="O187" i="9"/>
  <c r="M175" i="9" l="1"/>
  <c r="R20" i="9" s="1"/>
  <c r="T20" i="9" s="1"/>
  <c r="O176" i="9"/>
  <c r="O175" i="9" l="1"/>
  <c r="M152" i="9"/>
  <c r="M144" i="9" l="1"/>
  <c r="M209" i="9" s="1"/>
  <c r="O209" i="9" s="1"/>
  <c r="O152" i="9"/>
  <c r="M7" i="9"/>
  <c r="O7" i="9" s="1"/>
  <c r="N7" i="9" l="1"/>
  <c r="M60" i="12"/>
  <c r="O60" i="12" s="1"/>
  <c r="K61" i="12"/>
  <c r="K60" i="12" s="1"/>
  <c r="K30" i="12" s="1"/>
  <c r="K29" i="12" s="1"/>
  <c r="K7" i="12" s="1"/>
  <c r="K210" i="12" s="1"/>
  <c r="K6" i="12" s="1"/>
  <c r="N61" i="12"/>
  <c r="N60" i="12" s="1"/>
  <c r="N30" i="12" s="1"/>
  <c r="N29" i="12" s="1"/>
  <c r="M30" i="12" l="1"/>
  <c r="O30" i="12" s="1"/>
  <c r="L60" i="12"/>
  <c r="M29" i="12" l="1"/>
  <c r="O29" i="12" s="1"/>
  <c r="L30" i="12"/>
  <c r="L29" i="12" s="1"/>
  <c r="M7" i="12"/>
  <c r="O7" i="12" l="1"/>
  <c r="M210" i="12"/>
  <c r="M6" i="12" l="1"/>
  <c r="O210" i="12"/>
  <c r="M12" i="2" l="1"/>
  <c r="M16" i="2"/>
  <c r="M18" i="2"/>
  <c r="M24" i="2"/>
  <c r="M26" i="2"/>
  <c r="L38" i="2"/>
  <c r="M38" i="2"/>
  <c r="M40" i="2"/>
  <c r="M44" i="2"/>
  <c r="M46" i="2"/>
  <c r="L46" i="2"/>
  <c r="M54" i="2"/>
  <c r="M56" i="2"/>
  <c r="M60" i="2"/>
  <c r="M64" i="2"/>
  <c r="M68" i="2"/>
  <c r="M15" i="2"/>
  <c r="M19" i="2"/>
  <c r="M23" i="2"/>
  <c r="M27" i="2"/>
  <c r="M33" i="2"/>
  <c r="L37" i="2"/>
  <c r="M37" i="2"/>
  <c r="M41" i="2"/>
  <c r="M45" i="2"/>
  <c r="L45" i="2"/>
  <c r="L44" i="2" s="1"/>
  <c r="M51" i="2"/>
  <c r="L51" i="2"/>
  <c r="M55" i="2"/>
  <c r="M57" i="2"/>
  <c r="L57" i="2"/>
  <c r="L56" i="2" s="1"/>
  <c r="M63" i="2"/>
  <c r="L69" i="2"/>
  <c r="L68" i="2" s="1"/>
  <c r="M69" i="2"/>
  <c r="L33" i="2"/>
  <c r="L31" i="2" s="1"/>
  <c r="L55" i="2"/>
  <c r="L48" i="2"/>
  <c r="S8" i="2"/>
  <c r="M11" i="2"/>
  <c r="M67" i="2"/>
  <c r="M59" i="2"/>
  <c r="L53" i="2"/>
  <c r="M35" i="2"/>
  <c r="L35" i="2"/>
  <c r="M31" i="2"/>
  <c r="M21" i="2"/>
  <c r="Q8" i="2"/>
  <c r="M10" i="2"/>
  <c r="M50" i="2"/>
  <c r="L50" i="2"/>
  <c r="M58" i="2"/>
  <c r="L64" i="2"/>
  <c r="L63" i="2" s="1"/>
  <c r="L62" i="2"/>
  <c r="L61" i="2" s="1"/>
  <c r="M62" i="2"/>
  <c r="L36" i="2"/>
  <c r="L60" i="2"/>
  <c r="K8" i="2"/>
  <c r="L59" i="2" l="1"/>
  <c r="L34" i="2"/>
  <c r="L54" i="2"/>
  <c r="L9" i="2"/>
  <c r="L42" i="2"/>
  <c r="L49" i="2"/>
  <c r="L47" i="2" s="1"/>
  <c r="L58" i="2"/>
  <c r="M8" i="2"/>
  <c r="K179" i="2"/>
  <c r="M179" i="2" s="1"/>
  <c r="K7" i="2"/>
  <c r="M7" i="2" s="1"/>
  <c r="L41" i="2" l="1"/>
  <c r="L40" i="2" s="1"/>
  <c r="L8" i="2" s="1"/>
  <c r="L179" i="2" s="1"/>
  <c r="L7" i="2" l="1"/>
  <c r="G9" i="12" l="1"/>
  <c r="G8" i="12" s="1"/>
  <c r="G7" i="12" s="1"/>
  <c r="G210" i="12" s="1"/>
  <c r="G6" i="12" s="1"/>
  <c r="E6" i="12" s="1"/>
  <c r="O6" i="12" s="1"/>
  <c r="L14" i="12"/>
  <c r="N14" i="12" s="1"/>
  <c r="N9" i="12" s="1"/>
  <c r="N8" i="12" s="1"/>
  <c r="N7" i="12" s="1"/>
  <c r="N210" i="12" s="1"/>
  <c r="N6" i="12" s="1"/>
  <c r="L9" i="12"/>
  <c r="L8" i="12" s="1"/>
  <c r="L7" i="12" s="1"/>
  <c r="L210" i="12" s="1"/>
  <c r="L6" i="12" s="1"/>
  <c r="Q42" i="12" l="1"/>
  <c r="Q5" i="12"/>
  <c r="Q7" i="12" s="1"/>
  <c r="Q204" i="12" s="1"/>
</calcChain>
</file>

<file path=xl/sharedStrings.xml><?xml version="1.0" encoding="utf-8"?>
<sst xmlns="http://schemas.openxmlformats.org/spreadsheetml/2006/main" count="2350" uniqueCount="1052">
  <si>
    <t>หน่วยงานรับผิดชอบ</t>
  </si>
  <si>
    <t>โครงการงบพัฒนาจังหวัดแบบบูรณาการจังหวัดอ่างทอง</t>
  </si>
  <si>
    <t>ประเด็นยุทธศาสตร์ที่ 1 : พัฒนาเมืองน่าอยู่ สู่สังคมเป็นสุข</t>
  </si>
  <si>
    <t>อำเภอเมืองอ่างทอง</t>
  </si>
  <si>
    <t>อำเภอวิเศษชัยชาญ</t>
  </si>
  <si>
    <t>อำเภอโพธิ์ทอง</t>
  </si>
  <si>
    <t>ก่อสร้างถนนคอนกรีตเสริมเหล็ก บริเวณถนนทางเข้าวัดสระแก้ว หมู่ที่ 6 ตำบลบางเสด็จ อำเภอป่าโมก  จังหวัดอ่างทอง</t>
  </si>
  <si>
    <t xml:space="preserve">อำเภอป่าโมก </t>
  </si>
  <si>
    <t>อำเภอแสวงหา</t>
  </si>
  <si>
    <t>อำเภอสามโก้</t>
  </si>
  <si>
    <t>สำนักงานเกษตรและสหกรณ์</t>
  </si>
  <si>
    <t xml:space="preserve"> ส่งเสริมหมู่บ้าน OTOP เป็นแหล่งท่องเที่ยวเชิงวัฒนธรรม</t>
  </si>
  <si>
    <t xml:space="preserve">สำนักงานพัฒนาชุมชน </t>
  </si>
  <si>
    <t>พัฒนาศูนย์เรียนรู้หมู่บ้านเศรษฐกิจพอเพียงต้นแบบ</t>
  </si>
  <si>
    <t>สำนักงานพัฒนาชุมชน</t>
  </si>
  <si>
    <t>ส่งเสริมวิถีชุมชนเป็นแหล่งท่องเที่ยวเชิงเศรษฐกิจพอเพียงและวัฒนธรรม</t>
  </si>
  <si>
    <t>ส่งเสริมความเข้มแข็งชุมชนด้วยหลักปรัชญาเศรษฐกิจพอเพียง</t>
  </si>
  <si>
    <t>ส่งเสริมการใช้ปุ๋ยเพื่อลดต้นทุนการผลิต</t>
  </si>
  <si>
    <t>สำนักงานสหกรณ์</t>
  </si>
  <si>
    <t>ส่งเสริมการเลี้ยงปลาหมอไทย</t>
  </si>
  <si>
    <t>ส่งเสริมการปลูกไผ่หวาน</t>
  </si>
  <si>
    <t>พัฒนาศักยภาพคณะกรรมการหมู่บ้าน(กม.)ในการสร้างความปรองดองสมานฉันท์</t>
  </si>
  <si>
    <t>ที่ทำการปกครอง</t>
  </si>
  <si>
    <t>ศอ.ปส.จ.อท.</t>
  </si>
  <si>
    <t>รณรงค์ประชาสัมพันธ์ผ่านช่องทางต่าง ๆ เพื่อกระตุ้นจิตสำนึก เสริมสร้างพลังทางสังคม</t>
  </si>
  <si>
    <t>ค่ายปรับเปลี่ยนพฤติกรรม</t>
  </si>
  <si>
    <t xml:space="preserve">No place for drug </t>
  </si>
  <si>
    <t>ตำรวจภูธรจังหวัด</t>
  </si>
  <si>
    <t>ปรับปรุงหนองพนมพร้อมเสริมคันดินและอาคารประกอบ ตำบลเทวราช อำเภอไชโย จังหวัดอ่างทอง</t>
  </si>
  <si>
    <t>โครงการชลประทานอ่างทอง</t>
  </si>
  <si>
    <t>ปรับปรุงบึงศาลาอ้อ ตำบลสาวร้องไห้ อำเภอวิเศษชัยชาญ จังหวัดอ่างทอง</t>
  </si>
  <si>
    <t>ขุดลอกคลองลำท่าแดง หมู่ที่ 2,4 ตำบลย่านซื่อ อำเภอเมืองอ่างทอง จังหวัดอ่างทอง</t>
  </si>
  <si>
    <t>ปรับปรุงฟื้นฟูคลองระบายน้ำ หมู่ที่ 1 - 6 ตำบลรำมะสัก อำเภอโพธิ์ทอง จังหวัดอ่างทอง</t>
  </si>
  <si>
    <t>ขุดลอกหนองขโมยพร้อมประตูปิดเปิดระบายน้ำหนองขโมย  หมู่ที่ 4 ตำบลบางเสด็จ อำเภอป่าโมก จังหวัดอ่างทอง</t>
  </si>
  <si>
    <t>สำนักงานโยธาธิการฯ</t>
  </si>
  <si>
    <t>สำนักงานคลัง</t>
  </si>
  <si>
    <t>อำเภอไชโย</t>
  </si>
  <si>
    <t>ปรับปรุงสภาพแวดล้อมของชุมชน โครงการพัฒนาพื้นที่แก้มลิงหนองเจ็ดเส้นอันเนื่องมากจากพระราชดำริ</t>
  </si>
  <si>
    <t>สำนักงานทรัพยากร
ธรรมชาติและสิ่งแวดล้อม</t>
  </si>
  <si>
    <t>ประเด็นยุทธศาสตร์ที่ 2 : พัฒนาศักยภาพ การผลิต บริโภค และจำหน่ายอาหารปลอดภัย</t>
  </si>
  <si>
    <t xml:space="preserve">ส่งเสริมการผลิตผักปลอดภัยในโรงเรือนระบบปิด  </t>
  </si>
  <si>
    <t>ส่งเสริมการผลิตไม้ผลที่มีคุณภาพปลอดภัยได้มาตรฐานเพื่อการส่งออก (มะม่วง กล้วยหอมทอง)</t>
  </si>
  <si>
    <t>สำนักงานเกษตร</t>
  </si>
  <si>
    <t>ส่งเสริมการผลิตอาหารปลอดภัย "โรงเรียนเกษตรกรทำนา"</t>
  </si>
  <si>
    <t xml:space="preserve">ยกระดับการเลี้ยงแพะให้ได้มาตรฐาน </t>
  </si>
  <si>
    <t>สำนักงานปศุสัตว์</t>
  </si>
  <si>
    <t xml:space="preserve">พัฒนาการผลิต แปรรูปผลิตภัณฑ์นกกระทาอ่างทอง </t>
  </si>
  <si>
    <t>พัฒนาตลาดกลางจำหน่ายสัตว์น้ำสู่มาตรฐาน ประจำจังหวัดอ่างทอง</t>
  </si>
  <si>
    <t>สำนักงานประมง</t>
  </si>
  <si>
    <t>การส่งเสริมการจำหน่ายอาหารปลอดภัยและผลิตภัณฑ์จังหวัดอ่างทอง</t>
  </si>
  <si>
    <t>สำนักงานพาณิชย์</t>
  </si>
  <si>
    <t>ประเด็นยุทธศาสตร์ที่ 3 : ยกระดับมาตรฐานผลิตภัณฑ์สู่ตลาดโลก</t>
  </si>
  <si>
    <t>จัดแสดงและจำหน่ายผลิตภัณฑ์ OTOP</t>
  </si>
  <si>
    <t xml:space="preserve">โครงการพัฒนาการท่องเที่ยวเพื่อคนทั้งมวล จังหวัดอ่างทอง </t>
  </si>
  <si>
    <t>การเชื่อมโยงตลาดและเจรจาธุรกิจในประเทศเศรษฐกิจอาเซียน (AEC)</t>
  </si>
  <si>
    <t>ประเด็นยุทธศาสตร์ที่ 4 : ส่งเสริมการท่องเที่ยวเชิงวัฒนธรรม ถิ่นวีรชน และการเกษตร</t>
  </si>
  <si>
    <t>งานรำลึกสมเด็จพระพุฒาจารย์  (โต พรหมรังสี)</t>
  </si>
  <si>
    <t>สำนักงานการท่องเที่ยวและกีฬา</t>
  </si>
  <si>
    <t xml:space="preserve">งานรำลึกสมเด็จพระนเรศวรมหาราช  </t>
  </si>
  <si>
    <t xml:space="preserve"> - สำนักงานการท่องเที่ยวและกีฬา
 - อำเภอป่าโมก                </t>
  </si>
  <si>
    <t xml:space="preserve">งานรำลึกวีรชนแขวงเมืองวิเศษชัยชาญ </t>
  </si>
  <si>
    <t xml:space="preserve">งานสดุดีวีรชนคนแสวงหา </t>
  </si>
  <si>
    <t xml:space="preserve">งานสดุดีวีรชนพันท้ายนรสิงห์ </t>
  </si>
  <si>
    <t>งานเทศกาลกินผัดไทย ไหว้พระสมเด็จเกษไชโย</t>
  </si>
  <si>
    <t xml:space="preserve">งานมหกรรมกินกุ้งใหญ่ กินไข่นกกระทา กินผักปลาปลอดสารพิษ  </t>
  </si>
  <si>
    <t xml:space="preserve"> - สำนักงานการท่องเที่ยวและกีฬา
 - สำนักงานประมง
 - สำนักงานเกษตร</t>
  </si>
  <si>
    <t xml:space="preserve">งานแข่งขันเรือพาย </t>
  </si>
  <si>
    <t xml:space="preserve"> - สำนักงานการท่องเที่ยวและกีฬา
 - อำเภอป่าโมก 
 - อำเภอสามโก้</t>
  </si>
  <si>
    <t xml:space="preserve">งานเกษตรและของดีเมืองอ่างทอง </t>
  </si>
  <si>
    <t xml:space="preserve"> - สำนักงานเกษตรและสหกรณ์
 - สำนักงานการท่องเที่ยวและกีฬา</t>
  </si>
  <si>
    <t>ค่าใช้จ่ายในการบริหารจัดการยุทธศาสตร์ของผู้ว่าราชการจังหวัด</t>
  </si>
  <si>
    <t>ผู้รับจ้าง</t>
  </si>
  <si>
    <t>ผลการเบิกจ่าย(บาท)</t>
  </si>
  <si>
    <t>คงเหลือ</t>
  </si>
  <si>
    <t>ร้อยละ</t>
  </si>
  <si>
    <t xml:space="preserve">ประจำปีงบประมาณ พ.ศ. 2560 จังหวัดอ่างทอง </t>
  </si>
  <si>
    <t>ที่</t>
  </si>
  <si>
    <t>โครงการ/กิจกรรม</t>
  </si>
  <si>
    <t>งบประมาณ(บาท)</t>
  </si>
  <si>
    <t>หน่วยงานที่รับผิดชอบ</t>
  </si>
  <si>
    <t>งบลงทุน</t>
  </si>
  <si>
    <t>งบดำเนินงาน</t>
  </si>
  <si>
    <t>วงเงินสัญญาจ้าง</t>
  </si>
  <si>
    <t>ประเด็นยุทธศาสตร์ที่ 1 ยกระดับกระบวนการผลิตการตลาดและระบบ Logistics อาหารปลอดภัย</t>
  </si>
  <si>
    <t>โครงการยกระดับกระบวนการผลิต แปรรูป และการตลาดสินค้าอาหารปลอดภัย</t>
  </si>
  <si>
    <t>กิจกรรมที่ 1.1 ยกระดับกระบวนการผลิตเข้าสู่มาตรฐาน</t>
  </si>
  <si>
    <t>1.1.1 ส่งเสริมการผลิตด้านพืช  สู่มาตรฐาน GAP</t>
  </si>
  <si>
    <t xml:space="preserve">      1.1.1.1 อบรมถ่ายทอดความรู้การลดต้นทุนการผลิตภายใต้โครงการแปลงใหญ่ฯ จำนวน 50 ราย</t>
  </si>
  <si>
    <t xml:space="preserve">      1.1.1.2 การตรวจรับรองมาตรฐานแหล่งผลิตตามมาตรฐาน GAP (ข้าว)</t>
  </si>
  <si>
    <t>1.1.2 พัฒนาและส่งเสริมการแปรรูปสัตว์น้ำสู่มาตรฐานอาหารปลอดภัย</t>
  </si>
  <si>
    <t>1.1.3 ส่งเสริมการผลิตด้านปศุสัตว์สู่มาตรฐานฟาร์ม</t>
  </si>
  <si>
    <t xml:space="preserve">1.1.4 การใช้เทคโนโลยีการพัฒนาที่ดิน เพื่อเพิ่มประสิทธิภาพการผลิตพืช </t>
  </si>
  <si>
    <t>กิจกรรมที่ 1.2 ส่งเสริมการแปรรูปและพัฒนาบรรจุภัณฑ์</t>
  </si>
  <si>
    <t>กิจกรรมที่ 1.3 เสริมสร้างขีดความสามารถของสถาบันเกษตร ผู้ประกอบการและเกษตรกร</t>
  </si>
  <si>
    <t>กิจกรรมที่ 1.4 ส่งเสริมและรับรองแหล่งจำหน่ายสินค้าเกษตรปลอดภัยมาตรฐาน Q</t>
  </si>
  <si>
    <t>กิจกรรมที่ 1.5 ส่งเสริมการตลาด</t>
  </si>
  <si>
    <t>กิจกรรมที่ 1.6 บริหารจัดการโครงการ</t>
  </si>
  <si>
    <t xml:space="preserve"> โครงการส่งเสริมสนับสนุนเทคโนโลยีการผลิตพลังงานทดแทนเพื่อลดต้นทุนการผลิต</t>
  </si>
  <si>
    <t>กิจกรรมที่ 3.1 สนับสนุนเทคโนโลยีสูบน้ำพลังงานแสงอาทิตย์</t>
  </si>
  <si>
    <t>ประเด็นยุทธศาสตร์ที่ 2 สร้างมูลค่าเพิ่มทางการท่องเที่ยวจากฐานความรู้ทางประวัติศาสตร์ ศิลปวัฒนธรรม และภูมิปัญญาท้องถิ่น</t>
  </si>
  <si>
    <t>โครงการพัฒนายกระดับคุณภาพแหล่งท่องเที่ยวทางประวัติศาสตร์ศาสนาวัฒนธรรม ธรรมชาติและวิถีชีวิตลุ่มน้ำ</t>
  </si>
  <si>
    <t>โครงการส่งเสริมกิจกรรมสร้างแรงดึงดูดนักท่องเที่ยวกลุ่มจังหวัด</t>
  </si>
  <si>
    <t>กิจกรรมที่ 5.1 มนต์เสน่ห์เรื่องเล่าวิถีชีวิตชุมชน</t>
  </si>
  <si>
    <t>5.1.1 งานมหกรรมลิเก</t>
  </si>
  <si>
    <t>5.1.2 งานมหกรรมกลองนานาชาติ</t>
  </si>
  <si>
    <t>5.1.3 งานเทศกาลไหว้พระนอนวัดขุนอินทประมูล</t>
  </si>
  <si>
    <t xml:space="preserve">5.1.4 กิจกรรมส่งเสริมการท่องเที่ยวชุมชน มนต์เสน่ห์วิถีไทย </t>
  </si>
  <si>
    <t>ประเด็นยุทธศาสตร์ที่ 3 บริหารจัดการน้ำแบบบูรณาการ</t>
  </si>
  <si>
    <t>โครงการจัดหาและพัฒนาแหล่งน้ำเพื่อรองรับการบริหารจัดการน้ำอย่างเป็นระบบ</t>
  </si>
  <si>
    <t>กิจกรรมที่ 6.1 ปรับปรุงคลองขนากพร้อมอาคารป้องกันการกัดเซาะ ตำบลบางจัก อำเภอวิเศษชัยชาญ จังหวัดอ่างทอง</t>
  </si>
  <si>
    <t>โครงการป้องกันแก้ไขปัญหาคุณภาพน้ำในแม่น้ำสายหลัก</t>
  </si>
  <si>
    <t>กิจกรรมที่ 7.1 เครือข่ายประชาชนเฝ้าระวังคุณภาพน้ำ</t>
  </si>
  <si>
    <t>รวม</t>
  </si>
  <si>
    <t>งบประมาณ 93,692,000 บาท (เก้าสิบสามล้านหกแสนเก้าหมื่นสองพันบาทถ้วน)</t>
  </si>
  <si>
    <t>โครงการเพิ่มประสิทธิภาพระบบบริหารจัดการสินค้าและการขนส่งของกลุ่มจังหวัด Logistics</t>
  </si>
  <si>
    <t>สนง.เกษตรจังหวัด</t>
  </si>
  <si>
    <t>สนง.ประมงจังหวัด</t>
  </si>
  <si>
    <t>สนง.ปศุสัตว์จังหวัด</t>
  </si>
  <si>
    <t>สนง.เกษตรและสหกรณ์</t>
  </si>
  <si>
    <t>สนง.พาณิชย์จังหวัด</t>
  </si>
  <si>
    <t>แขวงทางหลวงชนบท</t>
  </si>
  <si>
    <t>สนง.พลังงานจังหวัด</t>
  </si>
  <si>
    <t>สนง.การท่องเที่ยวและกีฬาจังหวัด</t>
  </si>
  <si>
    <t>ดำเนินกิจกรรม To be number one ในอำเภอ</t>
  </si>
  <si>
    <t>ดำเนินกิจกรรม To be number one ในสถานประกอบการ</t>
  </si>
  <si>
    <t>ดำเนินกิจกรรม To be number one ในเรือนจำ</t>
  </si>
  <si>
    <t>ดำเนินกิจกรรม To be number one ในสำนักงานคุมประพฤติ</t>
  </si>
  <si>
    <t>ดำเนินกิจกรรม To be number one ในวิทยาลัยนาฏศิลป์</t>
  </si>
  <si>
    <t>ดำเนินจัดประกวดแข่งขัน To be number one ในจังหวัด</t>
  </si>
  <si>
    <t>คลองสวยน้ำใส บริเวณคลองโพธิ์ หมู่ที่ 3 ตำบลโพสะ อำเภอเมือง จังหวัดอ่างทอง</t>
  </si>
  <si>
    <t xml:space="preserve">      1.1.2.1 ตู้อบพลังความร้อน (ระบบแก๊สพร้อมอุปกรณ์)</t>
  </si>
  <si>
    <t xml:space="preserve">      1.1.2.2 ตู้แช่แข็ง ขนาด 9.5 คิว </t>
  </si>
  <si>
    <t xml:space="preserve">      1.1.2.3 เครื่องบรรจุภัณฑ์สุญญากาศแบบมาตรฐาน </t>
  </si>
  <si>
    <t xml:space="preserve">      1.1.2.4 เครื่องบดและผสมอาหารระบบไฟฟ้า อัตโนมัติ </t>
  </si>
  <si>
    <t xml:space="preserve">      งบดำเนินงาน</t>
  </si>
  <si>
    <t xml:space="preserve">      1.1.3.1 เครื่องสับหญ้า </t>
  </si>
  <si>
    <t xml:space="preserve">      ครุภัณฑ์</t>
  </si>
  <si>
    <t>สนง.เกษตรและสหกรณ์จังหวัด</t>
  </si>
  <si>
    <t xml:space="preserve">     1.4.1 ตู้แช่เนื้อสัตว์</t>
  </si>
  <si>
    <t>บัญชีโครงการงบประมาณตามแผนปฏิบัติราชการกลุ่มจังหวัดภาคกลางตอนบน 2</t>
  </si>
  <si>
    <t>กลุ่มจังหวัด</t>
  </si>
  <si>
    <t>สนง.พัฒนาชุมชนจังหวัด</t>
  </si>
  <si>
    <t>สนง.ทรัพยากรธรรมชาติและสิ่งแวดล้อมจังหวัด</t>
  </si>
  <si>
    <t>1.การจัดประชุมหารือเพื่อจัดทำแผนการพัฒนาจังหวัดและกลุ่มจังหวัดกับภาคส่วนต่างๆ ตามมาตรา 53/1 และมาตรา 53/2 แห่งพระราชบัญญัติระเบียบบริหารราชการแผ่นดิน พ.ศ.2534 และที่แก้ไขเพิ่มเติม</t>
  </si>
  <si>
    <t>1.1 กิจกรรมบริหารจัดการแผนพัฒนาจังหวัดอ่างทอง ประจำปีงบประมาณ พ.ศ. 2560</t>
  </si>
  <si>
    <t>1) ดำเนินการทบทวนแผนพัฒนาจังหวัดอ่างทอง (4ปี) พ.ศ.2561-2564</t>
  </si>
  <si>
    <t>2) ดำเนินการจัดทำแผนปฏิบัติราชการประจำปีของจังหวัดอ่างทอง ปี 2561 และปี 2562</t>
  </si>
  <si>
    <t>3) ดำเนินการตามตัวชี้วัดคำรับรองปฏิบัติราชการ</t>
  </si>
  <si>
    <t>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</si>
  <si>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5) ค่าอาหารปฏิบัติงานล่วงเวลา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</si>
  <si>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 (ก.ร.อ.จังหวัด) ประจำปีงบประมาณ พ.ศ.2560</t>
  </si>
  <si>
    <t>1) ค่าเบี้ยประชุมคณะกรรมการ ก.บ.จ. อ่างทอง</t>
  </si>
  <si>
    <t>2) ค่าอาหารว่างและเครื่องดื่ม</t>
  </si>
  <si>
    <t>3) ค่าจ้างเหมาจัดทำเอกสาร</t>
  </si>
  <si>
    <t>4) ค่าเดินทางไปราชการ</t>
  </si>
  <si>
    <t>3. การจัดการศึกษาเพื่อพัฒนายุทธศาสตร์จังหวัด/กลุ่มจังหวัด</t>
  </si>
  <si>
    <t>3.1 กิจกรรมดำเนินการขับเคลื่อนยุทธศาสตร์การพัฒนาจังหวัดอ่างทอง (อ่างทองครัวกรุงเทพ อ่างทองที่สุดอัศจรรย์)</t>
  </si>
  <si>
    <t>4. การพัฒนาประสิทธิภาพในการบริหารจัดการ</t>
  </si>
  <si>
    <t>4.1 กิจกรรมอำนวยการบริหารงานจังหวัดแบบบูรณาการจังหวัดอ่างทอง ประจำปีงบประมาณ พ.ศ.2560</t>
  </si>
  <si>
    <t>2) ค่าวัสดุสำนักงาน 12*30,000 บาท</t>
  </si>
  <si>
    <t>3) ค่าเดินทางไปราชการ</t>
  </si>
  <si>
    <t>4) ค่าซ่อมแซมครุภัณฑ์สำนักงาน</t>
  </si>
  <si>
    <t>5) ค่าซ่อมแซมรถยนต์</t>
  </si>
  <si>
    <t>8) ค่าอาหารปฏิบัติงานล่วงเวลา</t>
  </si>
  <si>
    <t>4.2 กิจกรรมจัดหาบุคลากรเพื่อสนับสนุนการบริหารจัดการตามยุทธศาสตร์การพัฒนาจังหวัดอ่างทอง ประจำปีงบประมาณ พ.ศ.2560 (7 คน)</t>
  </si>
  <si>
    <t>2) วุฒิปริญญาตรีช่วยงานการเงินงบจังหวัดกลุ่มจังหวัด (ประสบการณ์มากกว่า 1 ปี) 1 คนๆ ละ 12 เดือนๆ ละ 14,000 บาท</t>
  </si>
  <si>
    <t>1) วุฒิปริญญาตรีช่วยงานการเงินงบประจำปี (ประสบการณ์มากกว่า 2 ปี) 1 คนๆ ละ 12 เดือนๆ ละ 1,5000 บาท</t>
  </si>
  <si>
    <t>3) วุฒิปริญญาตรีช่วยงานระบบเอกสารอิเลคทรอนิกส์และบริหารงานทั่วไป (ประสบการณ์มากกว่า 2 ปี) 1 คนๆ ละ 12 เดือนๆ ละ 15,000 บาท</t>
  </si>
  <si>
    <t>4) วุฒิปริญญาตรีช่วยงานยุทธศาสตร์ (ประสบการณ์มากกว่า 1 ปี) 1 คนๆ ละ 12 เดือนๆ ละ 14,000 บาท</t>
  </si>
  <si>
    <t>5) วุฒิ ปวส. ช่วยงานธุรการทั่วไป 1 คนๆ ละ 12 เดือนๆ ละ 11,000 บาท</t>
  </si>
  <si>
    <t>6) วุฒิ ปวส. ขับรถยนต์ 2 คนๆ ละ 12 เดือนๆ ละ 11,500 บาท</t>
  </si>
  <si>
    <t>4.3 กิจกรรมพัฒนาระบบข้อมูลสารสนเทศและการสื่อสารเพื่อการบริหารจัดการยุทธศาสตร์การพัฒนาจังหวัด</t>
  </si>
  <si>
    <t>4.4 กิจกรรมของส่วนราชการที่ได้รับอนุมัติจากผู้ว่าราชการจังหวัดอ่างทอง</t>
  </si>
  <si>
    <t>5. การเผยแพร่ประชาสัมพันธ์เพื่อให้เกิดความรู้ความเข้าใจแก่ภาคส่วนต่างๆ เพื่อเข้ามามีส่วนร่วมในการจัดทำแผน รวมทั้งเพื่อสนับสนุนเพื่อขับเคลื่อนการดำเนินการตามแผน</t>
  </si>
  <si>
    <t>5.1 กิจกรรมดำเนินการประชาสัมพันธ์ยุทธศาสตร์การพัฒนาจังหวัด</t>
  </si>
  <si>
    <t>5.2 กิจกรรมของส่วนราชการที่ได้รับอนุมัติจากผู้ว่าราชการจังหวัด</t>
  </si>
  <si>
    <t>6. การติดตามประเมินผล</t>
  </si>
  <si>
    <t>6.1 กิจกรรมค่าใช้จ่ายในการติดตามประเมินผลการดำเนินงานตามแผนพัฒนาจังหวัดอ่างทอง</t>
  </si>
  <si>
    <t>1) ค่าน้ำมันเชื้อเพลิง ผวจ. 12*10,000 บาท                   รอง ผวจ. 2*12*7,000 บาท สนจ. 12*7,000 บาท</t>
  </si>
  <si>
    <t>1) ค่าน้ำมันเชื้อเพลิง ผวจ. 12*10,000 บาท                   รอง ผวจ. 2*12*8,000 บาท สนจ. 12*8,000 บาท</t>
  </si>
  <si>
    <t>2) ค่าวัสดุสำนักงาน 12*5,000 บาท</t>
  </si>
  <si>
    <t>6) ค่าวิทยากร ค่าอาหารจัดประชุม ค่าจ้างเหมาจัดทำเอกสาร และงานอำนวยการติดตามยุทธศาสตร์ของจังหวัด</t>
  </si>
  <si>
    <t>7) ค่าเช่าเครื่องถ่ายเอกสาร 1 เครื่องๆ ละ 12 เดือนๆ ละ 13,000 บาท</t>
  </si>
  <si>
    <t>5.2.1 โครงการเพิ่มศักยภาพงานประชาสัมพันธ์จังหวัดอ่างทอง ประจำปีงบประมาณ พ.ศ.2560</t>
  </si>
  <si>
    <t>4.4.1 โครงการสานใจไทยสู่ใจใต้ รุ่น 29</t>
  </si>
  <si>
    <t>วงเงินในสัญญาจ้าง</t>
  </si>
  <si>
    <t>ผลการดำเนินงาน</t>
  </si>
  <si>
    <t>จำนวน(บาท)</t>
  </si>
  <si>
    <t>สัญญาเริ่มต้น-สิ้นสุด</t>
  </si>
  <si>
    <t>งบประมาณ (บาท)</t>
  </si>
  <si>
    <t>สถานะโครงการ</t>
  </si>
  <si>
    <t>เสนอโครงการ</t>
  </si>
  <si>
    <t>สำนักงานจังหวัด</t>
  </si>
  <si>
    <t>ผลการดำเนินงานโครงการพัฒนาจังหวัดแบบบูรณาการ ประจำปีงบประมาณ พ.ศ. 2560</t>
  </si>
  <si>
    <t>บริษัท เพ็ชรอินทร์ก่อสร้าง</t>
  </si>
  <si>
    <t>หจก.ภัสสรชัยมงคล</t>
  </si>
  <si>
    <t>1 โครงการพัฒนาโครงสร้างพื้นฐานของประชาชน</t>
  </si>
  <si>
    <t>1.1 ก่อสร้างปรับปรุงเส้นทางเชื่อมโยงระหว่างหมู่บ้านและตำบล</t>
  </si>
  <si>
    <t>1.2 ก่อสร้างระบบประปาหมู่บ้าน</t>
  </si>
  <si>
    <t>1.3 ก่อสร้างปรับปรุงสะพานเชื่อมโยงเส้นทางระหว่างหมู่บ้านและตำบล</t>
  </si>
  <si>
    <t>2 โครงการส่งเสริมอาชีพสร้างโอกาสสร้างรายได้ของประชาชน</t>
  </si>
  <si>
    <t>2.1 สนองการดำเนินงานโครงการพระราชดำริในพื้นที่</t>
  </si>
  <si>
    <t>2.2 ส่งเสริมการดำเนินงานตามแนวปรัชญาเศรษฐกิจพอเพียง</t>
  </si>
  <si>
    <t>2.3 ส่งเสริมอาชีพสร้างความเข้มแข็งให้กลุ่มสหกรณ์</t>
  </si>
  <si>
    <t>3 โครงการเสริมสร้างความมั่นคงและความปลอดภัยในชีวิตและทรัพย์สิน</t>
  </si>
  <si>
    <t>3.1 รักษาความมั่นคงภายใน</t>
  </si>
  <si>
    <t>3.2 ป้องกันและแก้ไขปัญหายาเสพติด</t>
  </si>
  <si>
    <t>4 โครงการบริหารจัดการน้ำแบบบูรณาการ</t>
  </si>
  <si>
    <t>4.1 พัฒนาปรับปรุงแหล่งน้ำ</t>
  </si>
  <si>
    <t>4.2 ป้องกันภัยพิบัติจากน้ำ</t>
  </si>
  <si>
    <t>5 โครงการส่งเสริมการบริหารการจัดการที่ดีแบบบูรณาการและป้องกันและปราบปรามการทุจริต</t>
  </si>
  <si>
    <t>5.1 พัฒนาประสิทธิภาพบุคลากรภาครัฐ</t>
  </si>
  <si>
    <t>6 โครงการปรับปรุงสภาพแวดล้อมของชุมชน</t>
  </si>
  <si>
    <t>6.1 รณรงค์การสร้างบ้านเรือนและชุมชนที่น่าอยู่</t>
  </si>
  <si>
    <t>6.2 รณรงค์คลองสวยน้ำใส</t>
  </si>
  <si>
    <t>7. โครงการส่งเสริมการผลิตอาหารปลอดภัย</t>
  </si>
  <si>
    <t>7.1 ยกระดับกระบวนการผลิตเข้าสู่มาตรฐาน</t>
  </si>
  <si>
    <t>7.2 ส่งเสริมการจำหน่ายสินค้าเกษตรให้ได้มาตรฐาน</t>
  </si>
  <si>
    <t>8.1 พัฒนาขีดความสามารถในการแข่งขันเพื่อการส่งออก</t>
  </si>
  <si>
    <t>8.2 ยกระดับผลิตภัณฑ์ตามมาตรฐานการส่งออก</t>
  </si>
  <si>
    <t>8.3 โครงการส่งเสริมการตลาดเพื่อการส่งออก</t>
  </si>
  <si>
    <t>9.1 โครงการส่งเสริมกิจกรรมการท่องเที่ยวสานสัมพันธ์ วัฒนธรรมประเพณี</t>
  </si>
  <si>
    <t>ก่อสร้างถนนคอนกรีตเสริมเหล็ก ท่อระบายน้ำ พร้อมท่อพัก และรางวี ถนนสายเอี่ยมประชา อำเภอเมืองอ่างทอง จังหวัดอ่างทอง</t>
  </si>
  <si>
    <t>ก่อสร้างถนนคอนกรีตเสริมเหล็ก (เส้นทางคันคลองชลประทาน)             หมู่ที่ 2,3,6 บ้านเมืองใหม่ ตำบลคลองขนาก  เชื่อมต่อหมู่ที่ 5              ตำบลบางจัก อำเภอวิเศษชัยชาญ  จังหวัดอ่างทอง</t>
  </si>
  <si>
    <t>ก่อสร้างถนนคอนกรีตเสริมเหล็ก หมู่ที่ 11 ตำบลม่วงเตี้ย                      อำเภอวิเศษชัยชาญ เชื่อมต่อหมู่ที่ 1 ตำบลราษฎรพัฒนา อำเภอสามโก้ จังหวัดอ่างทอง</t>
  </si>
  <si>
    <t>ก่อสร้างถนนคอนกรีตเสริมเหล็ก หมู่ที่ 3 ตำบลรำมะสัก อำเภอโพธิ์ทอง เชื่อมต่อหมู่ที่ 2 ตำบลวังน้ำเย็น อำเภอแสวงหา จังหวัดอ่างทอง</t>
  </si>
  <si>
    <t>ก่อสร้างถนนคอนกรีตเสริมเหล็ก หมู่ที่ 12 ตำบลรำมะสัก อำเภอโพธิ์ทอง จังหวัดอ่างทอง เชื่อมต่อหมู่ที่ 5 ตำบลปลายนา อำเภอศรีประจันต์ จังหวัดสุพรรณบุรี</t>
  </si>
  <si>
    <t>ก่อสร้างถนนคอนกรีตเสริมเหล็ก หมู่ที่ 6 (ทางเข้าหนองเจ็ดเส้น)            ตำบลสายทอง  อำเภอป่าโมก  จังหวัดอ่างทอง</t>
  </si>
  <si>
    <t>ก่อสร้างถนนคอนกรีตเสริมเหล็ก(ลาดยางแอสฟัลท์ติกทับหน้า)หมู่ที่ 6 (เส้นกลางหมู่บ้าน) ตำบลนรสิงห์ เชื่อมต่อกับหมู่ที่ 1 ตำบลเอกราช         อำเภอป่าโมก จังหวัดอ่างทอง</t>
  </si>
  <si>
    <t>ก่อสร้างถนน คอนกรีตเสริมเหล็กปูทับด้วยแอสฟัสท์ติกคอนกรีต              ถนนริมคลองชลประทาน หมู่ที่ ๑-๒ ถึงบริเวณห้าแยกนรสิงห์-ลาดเค้า  ตำบลเอกราช  อำเภอป่าโมก  จังหวัดอ่างทอง</t>
  </si>
  <si>
    <t>ก่อสร้างถนน คอนกรีตเสริมเหล็กปูทับด้วยแอสฟัสท์ติกคอนกรีต                (สายที่ 2) ตำบลเอกราช อำเภอป่าโมก จังหวัดอ่างทอง</t>
  </si>
  <si>
    <t>ก่อสร้างถนนคอนกรีตเสริมเหล็ก ทางจากแยกต้นหูกวาง หมู่ที่ 5          ตำบลจำลอง อำเภอแสวงหา ถึงถนน คอนกรีตเสริมเหล็ก เชื่อมต่อหมู่ที่ 1 ตำบลห้วยไผ่ อำเภอแสวงหา จังหวัดอ่างทอง</t>
  </si>
  <si>
    <t>ก่อสร้างถนนคอนกรีตเสริมเหล็ก หมู่ที่ 8 หมู่ที่ 7 ตำบลบ้านพราน  เชื่อมต่อหมู่ที่ 1 ตำบลวังน้ำเย็น อำเภอแสวงหา จังหวัดอ่างทอง</t>
  </si>
  <si>
    <t>ก่อสร้างถนนคอนกรีตเสริมเหล็ก หมู่ที่ 1 ตำบลสามโก้  อำเภอสามโก้ เชื่อมต่อหมู่ที่ 9  ตำบลยี่ล้น อำเภอวิเศษชัยชาญ จังหวัดอ่างทอง</t>
  </si>
  <si>
    <t>ก่อสร้างถนนคอนกรีตเสริมเหล็ก หมู่ที่  10 ตำบลสามโก้ เชื่อมต่อหมู่ที่ 6  ตำบลสามโก้  อำเภอสามโก้ จังหวัดอ่างทอง</t>
  </si>
  <si>
    <t xml:space="preserve">ก่อสร้างถนนคอนกรีตเสริมเหล็ก หมู่ที่ 4  ตำบลราษฎรพัฒนา                เชื่อมต่อหมู่ที่ 5  ตำบลมงคลธรรมนิมิต อำเภอสามโก้ จังหวัดอ่างทอง </t>
  </si>
  <si>
    <t>ก่อสร้างถนนคอนกรีตเสริมเหล็ก หมู่ที่  5  ตำบลราษฎรพัฒนา                 เชื่อมต่อหมู่ที่ 8  ตำบลมงคลธรรมนิมิต อำเภอสามโก้ จังหวัดอ่างทอง</t>
  </si>
  <si>
    <t>ก่อสร้างระบบประปาหมู่บ้านขนาดเล็ก หมู่ที่ ๕ ตำบลเอกราช                 อำเภอป่าโมก จังหวัดอ่างทอง</t>
  </si>
  <si>
    <t>ก่อสร้างระบบประปาหมู่บ้านขนาดใหญ่ หมู่ที่ ๓ ตำบลเอกราช              อำเภอป่าโมก จังหวัดอ่างทอง</t>
  </si>
  <si>
    <t>ก่อสร้างสะพานคอนกรีจเสริมเหล็ก หมู่ที่5 ตำบลย่านซื่อ                     อำเภอเมืองอ่างทอง จังหวัดอ่างทอง</t>
  </si>
  <si>
    <t>ก่อสร้างสะพานคอนกรีตเสริมเหล็ก หมู่ที่ 3 ตำบลสีบัวทอง                   อำเภอแสวงหา จังหวัดอ่างทอง</t>
  </si>
  <si>
    <t>ก่อสร้างเขื่อนป้องกันตลิ่งริมแม่น้ำน้อย (ต่อเนื่องเขื่อนเดิม)                   บริเวณหน้าวัดท่าสามัคคี หมู่ที่ 1 ตำบลองครักษ์ อำเภอโพธิ์ทอง            จังหวัดอ่างทอง</t>
  </si>
  <si>
    <t>ก่อสร้างเขื่อนเรียงหิน บริเวณหน้าวัดโคกพุทรา หมู่ 1  ตำบลโคกพุทรา อำเภอโพธิ์ทอง จังหวัดอ่างทอง</t>
  </si>
  <si>
    <t>ส่งเสริมความเข้มแข็งในการบริหารจัดการด้านการเงิน,การคลังที่มี      ธรรมาภิบาลและการป้องกันปราบปรามการทุจริตในภาครัฐ</t>
  </si>
  <si>
    <t>ปรับปรุงภูมิทัศน์หาดเจ้าพระยา หมู่ที่ 1 ตำบลราชสถิตย์  อำเภอไชโย จังหวัดอ่างทอง</t>
  </si>
  <si>
    <t xml:space="preserve">   สัญญา     เรื่มต้น-สิ้นสุด</t>
  </si>
  <si>
    <t>จำนวน</t>
  </si>
  <si>
    <t>กิจกรรมที่ 2.1 ขยายไหล่ทางและปรับปรุงผิวจราจรถนนลาดยาง สาย อท.2034 แยก ทล.32-บ.มหานาม           อ.ไชโย จ.อ่างทอง  ระยะทางไม่น้อยกว่า 2.000 กม.       (ตอนที่ 2)</t>
  </si>
  <si>
    <t>กิจกรรมที่ 4.1 ก่อสร้างซุ้มประตูทางเข้าหมู่บ้านทำกลองและปรับปรุงภูมิทัศน์ ตำบลเอกราช อำเภอป่าโมก             จังหวัดอ่างทอง</t>
  </si>
  <si>
    <t>อนุมัติโครงการ</t>
  </si>
  <si>
    <t>ครุภัณฑ์</t>
  </si>
  <si>
    <t xml:space="preserve"> - เครื่องซีลสูญญากาศ กำลังซีลไม่น้อยกว่า 0.6 kw กำลังปั๊มสูญญากาศ 3 คิว</t>
  </si>
  <si>
    <t xml:space="preserve"> - รถรางชมวิวขนาดไม่น้อยกว่า 35 ที่นั่ง (เปิดข้าง) เครื่องใหม่</t>
  </si>
  <si>
    <t xml:space="preserve"> - เครื่องสูบน้ำขนาดไม่ต่ำกว่า 10 แรงม้า ท่อพญานาคแสตนเลส เส้นผ่าศูนย์กลาง 8 นิ้ว 6 เมตร พร้อมอุปกรณ์ จำนวน 1 เครื่อง</t>
  </si>
  <si>
    <t>สำนักงานประมงจังหวัด</t>
  </si>
  <si>
    <t xml:space="preserve"> - เครื่องสับหญ้าแบบ 4 ใบมีด </t>
  </si>
  <si>
    <t>สำนักงานปศุสัตว์จังหวัด</t>
  </si>
  <si>
    <t xml:space="preserve"> - ชุดใบพัดตีน้ำ 2 ชุด พร้อมตู้ควบคุมและติดตั้ง</t>
  </si>
  <si>
    <t xml:space="preserve"> - ตู้แช่แข็งฝาทึบ ขนาด 13.5 คิว (สีเทา)</t>
  </si>
  <si>
    <t xml:space="preserve"> - เครื่องบดย่อยกิ่งไม้</t>
  </si>
  <si>
    <t>สำนักงานเกษตรจังหวัด</t>
  </si>
  <si>
    <t>6) ค่าวิทยากร ค่าอาหารจัดประชุม ค่าจ้างเหมาจัดทำเอกสาร และงานอำนวยการบูรณาการทั่วไปของจังหวัด</t>
  </si>
  <si>
    <t>อบรมพัฒนาศักยภาพเจ้าหน้าที่สาธารณสุขเรื่องการบำบัดฟื้นฟูยาเสพติด การติดตามและการบันทึกข้อมูล</t>
  </si>
  <si>
    <t>สาธารณสุข</t>
  </si>
  <si>
    <t xml:space="preserve"> </t>
  </si>
  <si>
    <t>หจก.อ่างทองพัฒนา</t>
  </si>
  <si>
    <t>หจก.เจริญอารี</t>
  </si>
  <si>
    <t>หจก.มหาราชชัยมงคล</t>
  </si>
  <si>
    <t>หจก.ทรัพย์สายทอง</t>
  </si>
  <si>
    <t>หจก.ศรณรงค์ ก่อสร้าง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</si>
  <si>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</si>
  <si>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</si>
  <si>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งบประมาณที่ได้รับจัดสรร (บาท)</t>
  </si>
  <si>
    <t>ผลการเบิกจ่ายงบประมาณ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</si>
  <si>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</si>
  <si>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</si>
  <si>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</si>
  <si>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</si>
  <si>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เริ่มต้น 16 พ.ย. 59 ถึง 13 ก.ย. 60</t>
  </si>
  <si>
    <t>บริษัท รถรางชมเมืองสุโขทัย จำกัด</t>
  </si>
  <si>
    <t xml:space="preserve"> องค์การสงเคราะห์ทหารผ่านศึก</t>
  </si>
  <si>
    <t>หจก.ม่วงเตี้ย รุ่งเรือง</t>
  </si>
  <si>
    <t>บริษัท TDD ก่อสร้าง จำกัด</t>
  </si>
  <si>
    <t>นายนรงค์ ปานวิเชียร</t>
  </si>
  <si>
    <t>เหลือจ่าย</t>
  </si>
  <si>
    <t>ส่งเสริมและพัฒนาพื้นที่แก้มลิงหนองเจ็ดเส้น อันเนื่องมาจากพระราชดำริตำบลหัวไผ่ อำเภอเมืองอ่างทอง ตำบลสายทอง           อำเภอป่าโมก จังหวัดอ่างทอง</t>
  </si>
  <si>
    <t xml:space="preserve"> - ค่าจ้างเหมาสร้างอาคารศูนย์แสดง และจำหน่ายสินค้าผลิตภัณฑ์ชุมชน บริเวณวัดจันทรังษี</t>
  </si>
  <si>
    <t xml:space="preserve"> - ค่าตู้โชว์แสดง และโต๊ะสินค้าจำหน่ายผลิตภัณฑ์ชุมชน</t>
  </si>
  <si>
    <t xml:space="preserve"> - ค่าจ้างเหมาปรับปรุงภูมิทัศน์ ฐานการเรียนร็ภูมิปัญญาท้องถิ่นในชุมชน</t>
  </si>
  <si>
    <t xml:space="preserve"> ลงทุน</t>
  </si>
  <si>
    <t>ดำเนินงาน</t>
  </si>
  <si>
    <t xml:space="preserve"> - เครื่องมัลติมีเดียโปรเจคเตอร์ จำนวน 14 เครื่อง ๆ ละ 17,000 บาท</t>
  </si>
  <si>
    <t xml:space="preserve"> - ปรับปรุงภูมิทัศน์ภายในหมู่บ้านบางเสด็จ หมู่ที่ 2 ตำบลบางเสด็จ อำเภอป่าโมก</t>
  </si>
  <si>
    <t>หจก.สหทัยค้าไม้สระบุรี</t>
  </si>
  <si>
    <t xml:space="preserve">สหสมชัย ธนพร </t>
  </si>
  <si>
    <t>ผลการดำเนินงานและการเบิกจ่ายงบประมาณค่าใช้จ่ายในการบริหารจัดการจังหวัดอ่างทอง ประจำปีงบประมาณ 2560</t>
  </si>
  <si>
    <t>องค์การสงเคราะห์ทหารผ่านศึก</t>
  </si>
  <si>
    <t xml:space="preserve"> - กิจกรรมที่ 1 พัฒนาการผลิตนกกระทาสู่มาตรฐาน (การฝึกอบรมพัฒนาเกษตรกรผู้เลี้ยงนกกระทาและผู้สนใจ)</t>
  </si>
  <si>
    <t xml:space="preserve"> - กิจกรรมที่ 2 พัฒนาการแปรรูปผลิตภัณฑ์นกกระทาอ่างทอง (การฝึกอบรมพัฒนาแปรรูปผลิตภัณฑ์นกกระทาอ่างทอง)</t>
  </si>
  <si>
    <t xml:space="preserve"> - กิจกรรมที่ 3 การส่งเสริมความรู้ด้านอาหารศึกษาและกระตุ้นการบริโภคผลิตภัณฑ์นกกระทา (การฝึกอบรมความรู้ด้านอาหารศึกษาและกระตุ้นการบริโภคผลิตภัณฑ์นกกระทา)</t>
  </si>
  <si>
    <t xml:space="preserve"> - กิจกรรมที่ 4 การติดตามความก้าวหน้าของโครงการ</t>
  </si>
  <si>
    <t>ก่อสร้างสะพาน คอนกรีตเสริมเหล็ก ทางเข้าโรงพยาบาลป่าโมก  หมู่ที่ 2 ตำบลป่าโมก อำเภอป่าโมก จังหวัดอ่างทอง</t>
  </si>
  <si>
    <t>ดำเนินกิจกรรม To be number one ในสถานพินิจและคุ้มครองเด็ก</t>
  </si>
  <si>
    <t>หจก.ประสิทรุ่งเรือง</t>
  </si>
  <si>
    <t>เบิกงบลงทุน</t>
  </si>
  <si>
    <t>เบิกดำเนินงาน</t>
  </si>
  <si>
    <t>ก่อสร้างสะพานคอนกรีตเสริมเหล็ก ระหว่าง ตำบลจำลอง อำเภอแสวงหา เชื่อมต่อ ตำบลแสวงหา หมู่ที่ 2 และตำบลศรีพราน หมู่ 1 อำเภอแสวงหา จังหวัดอ่างทอง</t>
  </si>
  <si>
    <t xml:space="preserve">  70.1ก่อสร้างอาคารศูนย์ฝึกอาชีพและแสดงสินค้า OTOP หมู่ที่ 6          ตำบลหัวตะพาน อำเภอวิเศษชัยชาญ จังหวัดอ่างทอง</t>
  </si>
  <si>
    <t>บริษัท สตรีม อาคิเทคเทอรัล แอนด์ เอ็นจิเนียริ่ง จำกัด</t>
  </si>
  <si>
    <t>เริ่ม 29 ธ.ค.59 ถึง 27 มิ.ย. 60</t>
  </si>
  <si>
    <t>บริษัท จันทร์สมบูรณ์ไลท์ติ้ง จำกัด</t>
  </si>
  <si>
    <t>ร้าน คิงส์ทองพาณิชย์</t>
  </si>
  <si>
    <t>บริษัทสองฝั่งการเกษตร จำกัด</t>
  </si>
  <si>
    <t xml:space="preserve"> บริษัท
วีระมาศการเกษตร จำกัด</t>
  </si>
  <si>
    <t xml:space="preserve"> บริษัท 
วีระมาศการเกษตร จำกัด</t>
  </si>
  <si>
    <t>ห้างหุ้นส่วนจำกัด หัวเหรียญ อีสาน</t>
  </si>
  <si>
    <t>เริ่ม 15 ธ.ค. 59 สิ้นสุด 14 ม.ค. 60</t>
  </si>
  <si>
    <t>เริ่ม 25 พ.ย. 59 สิ้นสุด 25 มี.ค. 60</t>
  </si>
  <si>
    <t>บริษัท 
ซีแอลพี อินเตอร์เทรด จำกัด</t>
  </si>
  <si>
    <t>เริ่ม 14 ธ.ค. 59 สิ้นสุด 3 ม.ค. 60</t>
  </si>
  <si>
    <t>บริษัท โกลแพนด้าอินเตอร์เทค จำกัด</t>
  </si>
  <si>
    <t>คิงทองพานิชย์</t>
  </si>
  <si>
    <t>เริ่ม 16 ธ.ค. 59 สิ้นสุด 23 ธ.ค. 59</t>
  </si>
  <si>
    <t>เริ่ม 19 ธ.ค. 59 สิ้นสุด 19 มี.ค.60</t>
  </si>
  <si>
    <t>เริ่ม 30 ธ.ค. 59 สิ้นสุด 12 ก.พ.60</t>
  </si>
  <si>
    <t>หจก.บางจากการโยธา</t>
  </si>
  <si>
    <t>ลงนามสัญญาจ้างแล้ว</t>
  </si>
  <si>
    <t>บริษัทมัลติซิล
คอมพิวเตอร์แอนด์แอดเวิร์ด จำกัด</t>
  </si>
  <si>
    <t>ส่งมอบ 
27 ก.พ. 60</t>
  </si>
  <si>
    <t>หจก.โอบภกิจ จำกัด</t>
  </si>
  <si>
    <t>บริษัท เจ เค
เฟอร์นิเจอร์จำกัด</t>
  </si>
  <si>
    <t>หจก.รุ้งทวีการโยธาจำกัด</t>
  </si>
  <si>
    <t>ส่งเสริมความเข้มแข็งหมู่บ้าน/ชุมชนที่มีการแพร่ระบาดรุนแรง</t>
  </si>
  <si>
    <t xml:space="preserve"> ค้นหาผู้เสพยา/เสพติดเพื่อเข้ารับการบำบัด</t>
  </si>
  <si>
    <t>เริ่ม 29 ธ.ค.59 สิ้นสุด 27 พ.ค. 60</t>
  </si>
  <si>
    <t>หจก.บีดีซัคเซท</t>
  </si>
  <si>
    <t>เริ่มต้น30 ธ.ค.59 สิ้นสุด 15 ก.พ.60</t>
  </si>
  <si>
    <t>เริ่ม 28 ธ.ค.59 สิ้นสุด 17 ม.ค.60</t>
  </si>
  <si>
    <t>เริ่มต้น 30 ธ.ค.59 สิ้นสุด 10 ม.ค.60</t>
  </si>
  <si>
    <t>หจก.5 ธ.ทางพระ</t>
  </si>
  <si>
    <t>เริ่มต้น 17 ธ.ค.59 สิ้นสุด 16 มี.ค. 60</t>
  </si>
  <si>
    <t xml:space="preserve"> - คอมพิวเตอร์โน๊ตบุ๊คสำหรับสำนักงาน จำนวน 14 เครื่อง </t>
  </si>
  <si>
    <t>4.4.3 โครงการสร้างจิตสำนึกข้าราชการและประชาชน " พระบารมีปกเกล้า ชาวอ่างทอง " เนื่องในโอกาสบำเพ็ญพระราชกุศลปัญญาสมวาร ( 50 วัน ) พระบาทสมเด็จพระปรมินทรมหาภูมิพลอดุลยเดช วันที่ 1 ธันวาคม 2559</t>
  </si>
  <si>
    <t>4.4.4 โครงการสร้างจิตสำนึกข้าราชการและประชาชน " พระบารมีปกเกล้า ชาวอ่างทอง " เนื่องในโอกาสบำเพ็ญพระราชกุศลปัญญาสมวาร ( 100 วัน ) พระบาทสมเด็จพระปรมินทรมหาภูมิพลอดุลยเดช วันที่ 20 มกราคม 2560</t>
  </si>
  <si>
    <t>ที่ทำการปกครองจังหวัดอ่างทอง</t>
  </si>
  <si>
    <t>4.4.5 โครงการ " หน่วยบำบัดทุกข์ บำรุงสุขสร้างรอยยิ้มให้ประชาชน " เพื่อเสริมสร้างความเข้าใจของประชาชนในการดำเนินงานตามยุทธศาสตร์การพัฒนาจังหวัดอ่างทอง ประจำปีงบประมาณ พ.ศ. 2560</t>
  </si>
  <si>
    <t>5.2.2 โครงการผู้ว่าพบประชาชน ประจำปีงบประมาณ พ.ศ. 2560</t>
  </si>
  <si>
    <t>5.2.3 โครงการจัดทำปฏิทินส่งเสริมการท่องเที่ยวจังหวัดอ่างทอง ประจำปี 2560</t>
  </si>
  <si>
    <t>5.2.4 โครงการบูรณาการความร่วมมือด้านการประชาสัมพันธ์ เพื่อการพัฒนาจังหวัดอ่างทอง</t>
  </si>
  <si>
    <t>5.1.1 โครงการประชาสัมพันธ์ยุทธศาสตร์การพัฒนาจังหวัดอ่างทอง ประจำปีงบประมาณ พ.ศ.2560 ภายใต้โครงการเพิ่มประสิทธิภาพการบริหารจัดการยุทธศาสตร์การพัฒนาจังหวัดอ่างทอง ประจำปีงบประมาณ พ.ศ.2560</t>
  </si>
  <si>
    <t>โครงการเงินเหลือจ่าย</t>
  </si>
  <si>
    <t>ที่ทำการปกครองจังหวัด</t>
  </si>
  <si>
    <t>ห้างหุ้นส่วนจำกัด ส.งามทรัพย์</t>
  </si>
  <si>
    <t>เสร็จแล้ว</t>
  </si>
  <si>
    <t>สรุปการอนุมัติโครงการ</t>
  </si>
  <si>
    <t>งบประมาณค่าใช้จ่ายในการสนับสนุนการแก้ไขปัญหาความเดือดร้อนเร่งด่วนของประชาชนในจังหวัดอ่างทอง ประจำปีงบประมาณ พ.ศ. 2560</t>
  </si>
  <si>
    <t>ประจำปีงบประมาณ พ.ศ. 2560 งวดที่ 1 (2 ล้านบาท)</t>
  </si>
  <si>
    <t>โครงการ</t>
  </si>
  <si>
    <t>งบประมาณที่ได้รับอนุมัติ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</si>
  <si>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</si>
  <si>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2560         </t>
  </si>
  <si>
    <t>1.1 โครงการก่อสร้างติดตั้งหอถังน้ำสูง (ทรงแชมเปญ) ขนาดความจุ 20 ลบ.ม.</t>
  </si>
  <si>
    <t xml:space="preserve"> - สำนักงานจังหวัดอ่างทอง
 - อำเภอไชโย</t>
  </si>
  <si>
    <t>1.2 โครงการก่อสร้างห้องสุขาสำหรับประชาชน อำเภอแสวงหา จังหวัดอ่างทอง ประจำปีงบประมาณ พ.ศ. 2560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</si>
  <si>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</si>
  <si>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อำเภอป่าโมก</t>
  </si>
  <si>
    <t>1.4 โครงการปรับปรุงประปาหมู่บ้านหมู่ที่ 1 บ้านช่องน้ำไหล จำนวน 3 หอถัง ตำบลห้วยคันแหลนอำเภอวิเศษชัยชาญ จังหวัดอ่างทอง</t>
  </si>
  <si>
    <t xml:space="preserve"> - สำนักงานจังหวัดอ่างทอง
 - อำเภอวิเศษชัยชาญ</t>
  </si>
  <si>
    <t>1.5 โครงการปรับปรุงฟื้นฟูแหล่งกักเก็บน้ำบ้านไผ่นกนอน</t>
  </si>
  <si>
    <t xml:space="preserve"> - สำนักงานจังหวัดอ่างทอง
 - อำเภอสามโก้</t>
  </si>
  <si>
    <t xml:space="preserve"> - สำนักงานจังหวัดอ่างทอง</t>
  </si>
  <si>
    <t>สัญญาจ้าง</t>
  </si>
  <si>
    <t>1.3 ก่อสร้างระบบประปาหมู่บ้านขนาดเล็ก (ขนาดความจุ 20 ลูกบาศก์เมตร) หมู่ที่ 5 ตำบลเอกราช อำเภอป่าโมก จังหวัดอ่างทอง</t>
  </si>
  <si>
    <t xml:space="preserve">ร้าน ช.ชยาภรณ์ </t>
  </si>
  <si>
    <t xml:space="preserve">เริ่ม 8 ก.พ.60
สิ้นสุด 10 มี.ค. 60 </t>
  </si>
  <si>
    <t xml:space="preserve">เบิกจ่าย </t>
  </si>
  <si>
    <t>ผลการเบิกจ่าย (บาท)</t>
  </si>
  <si>
    <t xml:space="preserve">เริ่ม 2 ก.พ. 60
สิ้นสุด 22 ก.พ. 60 </t>
  </si>
  <si>
    <t xml:space="preserve">ร้าน รดาบาดาล </t>
  </si>
  <si>
    <t xml:space="preserve">1. งานเกษตรและของดีเมืองอ่างทอง </t>
  </si>
  <si>
    <t>2. งาน " อ่างทองรำลึก 31 ปี ใต้ร่มพระบารมีองค์ภูมิพล "</t>
  </si>
  <si>
    <t xml:space="preserve">3. ปรับปรุงภูมิทัศน์หาดเจ้าพระยา หมู่ที่ 1 ตำบลราชสถิตย์ 
 อำเภอไชโย จังหวัดอ่างทอง                                       </t>
  </si>
  <si>
    <t xml:space="preserve">4. ปรับปรุงภูมิทัศน์ โครงการพัฒนาพื้นที่แก้มลิงหนองเจ็ดเส้นอันเนื่องมากจากพระราชดำริ                         </t>
  </si>
  <si>
    <t xml:space="preserve">5. ปรับปรุงบึงสำเภาลอย ตำบลโรงช้าง อำเภอป่าโมก จังหวัดอ่างทอง                    </t>
  </si>
  <si>
    <t>6. ปรับปรุงหนองเป็ด พร้อมเสริมคันดิน ตำบลโคกพุทรา
 อำเภอโพธิ์ทอง จังหวัดอ่างทอง</t>
  </si>
  <si>
    <t>4.4.6 โครงการเพิ่มประสิทธิภาพการคำนวณราคากลางงานก่อสร้างจังหวัดอ่างทอง</t>
  </si>
  <si>
    <t>หมายเหตุ</t>
  </si>
  <si>
    <t>7. กิจกรรมประชาสัมพันธ์ งานอ่างทองถิ่นวีรชนเมืองคนกล้า</t>
  </si>
  <si>
    <t xml:space="preserve">เริ่ม 2 ก.พ. 60
สิ้นสุด 18 มี.ค. 60 </t>
  </si>
  <si>
    <t>ห้างหุ้นส่วนจำกัดภัสสรชัยมงคล</t>
  </si>
  <si>
    <t xml:space="preserve">เริ่ม 31 ม.ค. 60
สิ้นสุด 17 มี.ค. 60 </t>
  </si>
  <si>
    <t>นางสาวนุชลี 
ขวัญเกตุ</t>
  </si>
  <si>
    <t>นายธวัช ปุนสกุล</t>
  </si>
  <si>
    <t xml:space="preserve">เริ่ม 2 ก.พ. 60
สิ้นสุด 3 มี.ค. 60 </t>
  </si>
  <si>
    <t>(โครงการตามแนวทางการสร้างความเข้มแข็งและยั่งยืนให้กับเศรษฐกิจภายในประเทศ)</t>
  </si>
  <si>
    <t>หน่วยดำเนินการ</t>
  </si>
  <si>
    <t>รวม 2 โครงการ</t>
  </si>
  <si>
    <t>โครงการสร้างมูลค่าเพิ่มมาตรฐานอาหารปลอดภัยเพื่อสุขภาพโดยเป็น "ครัวสุขภาพเพื่อมหานคร"</t>
  </si>
  <si>
    <t>1.การวิจัยและพัฒนาปัจจัยพื้นฐานสินค้าเกษตร</t>
  </si>
  <si>
    <t>1.2 พัฒนาปรับปรุงคุณภาพของ ดิน แหล่งน้ำ และเส้นทางการขนส่งให้มีความเหมาะสม</t>
  </si>
  <si>
    <t>1.2.1 พัฒนาแหล่งน้ำเพื่อการเกษตร</t>
  </si>
  <si>
    <t xml:space="preserve">1.2.1.9 ปรับปรุงหนองหัวแตก พร้อมอาคารประกอบ ตำบลหนองแม่ไก่ 
อำเภอโพธิ์ทอง </t>
  </si>
  <si>
    <t xml:space="preserve">1.2.1.10 ปรับปรุงหนองลาดใหญ่ พร้อมอาคารประกอบ ตำบลชัยฤทธิ์ อำเภอไชโย </t>
  </si>
  <si>
    <t xml:space="preserve">1.2.1.11 ปรับปรุงหนองระหานใหญ่ พร้อมอาคารประกอบ ตำบลไชยภูมิ อำเภอไชโย </t>
  </si>
  <si>
    <t>1.2.1.13 ขุดลอกบึงเบิกไพร หมู่ที่ 6 ตำบลไผ่ดำพัฒนา อำเภอวิเศษชัยชาญ</t>
  </si>
  <si>
    <t>1.2.1.14 ขุดลอกบึงอ้ายรัง หมู่ที่ 8 ตำบลไผ่ดำพัฒนา อำเภอวิเศษชัยชาญ</t>
  </si>
  <si>
    <t>1.2.2 พัฒนาเส้นทางการขนส่งผลผลิตทางการเกษตร</t>
  </si>
  <si>
    <t>แขวงทางหลวงชนบทอ่างทอง</t>
  </si>
  <si>
    <t>1.2.2.4 ก่อสร้างถนน คสล.หมู่ 3 บ้านบึง ตำบลรำมะสัก เชื่อมต่อหมู่ 7 
บ้านแจงแขวนหม้อ ตำบลม่วงคัน อำเภอโพธิ์ทอง</t>
  </si>
  <si>
    <t>2.การเพิ่มผลผลิตพัฒนาคุณภาพและลดต้นทุน</t>
  </si>
  <si>
    <t>2.1 ส่งเสริมการผลิตสินค้าเกษตรปลอดภัย</t>
  </si>
  <si>
    <t>2.1.1 ด้านพืช</t>
  </si>
  <si>
    <t>สนง.เกษตรจังหวัดอ่างทอง</t>
  </si>
  <si>
    <t>2.1.2 ด้านประมง</t>
  </si>
  <si>
    <t>สนง.ประมงจังหวัดอ่างทอง</t>
  </si>
  <si>
    <t>2.1.3 ด้านปศุสัตว์</t>
  </si>
  <si>
    <t>สนง.ปศุสัตว์จังหวัดอ่างทอง</t>
  </si>
  <si>
    <t>3.การพัฒนาเกษตรกรและสถาบันเกษตรกร</t>
  </si>
  <si>
    <t>3.1 พัฒนาเกษตรกรและสถาบันเกษตรกรสู่การเป็นผู้ประกอบการ</t>
  </si>
  <si>
    <t>3.1.1 ส่งเสริมการรวมกลุ่ม เพื่อวางแผนการผลิตรองรับความต้องการของตลาด 
และสร้างพลังการต่อรอง</t>
  </si>
  <si>
    <t>สนง.สหกรณ์จังหวัดอ่างทอง</t>
  </si>
  <si>
    <t>3.2 การขยายเทคโนโลยีกระบวนการผลิตและแปรรูปผลิตภัณฑ์สู่ชุมชน</t>
  </si>
  <si>
    <t>3.2.1 ส่งเสริมการนำเทคโนโลยีมาพัฒนาผลิตภัณฑ์</t>
  </si>
  <si>
    <t>สำนักงานจังหวัดอ่างทอง และกระทรวงวิทยาศาสตร์และเทคโนโลยี</t>
  </si>
  <si>
    <t>4.การแปรรูป การเพิ่มและสร้างคุณค่า</t>
  </si>
  <si>
    <t>4.1 วิจัยการแปรรูปผลผลิตทางการเกษตร และพัฒนาบรรจุภัณฑ์</t>
  </si>
  <si>
    <t>4.1.1 ส่งเสริมการใช้นวัตกรรมสร้างผลิตภัณฑ์จากกล้วย</t>
  </si>
  <si>
    <t>4.1.1.1 ค่าจ้างพนักงาน</t>
  </si>
  <si>
    <t>4.1.1.3 ค่าวัสดุฝึกอบรม</t>
  </si>
  <si>
    <t>4.2 พัฒนาปรับปรุงคุณภาพของพัฒนาบรรจุภัณฑ์ให้มีความเหมาะสม</t>
  </si>
  <si>
    <t xml:space="preserve">4.2.1 พัฒนาบรรจุภัณฑ์ </t>
  </si>
  <si>
    <t xml:space="preserve">สนง.อุตสาหกรรมจังหวัดอ่างทอง </t>
  </si>
  <si>
    <t>5.การพัฒนาระบบตลาด</t>
  </si>
  <si>
    <t xml:space="preserve">5.1 พัฒนาศักยภาพและเพิ่มขีดความสามารถการตลาดเชิงรุก </t>
  </si>
  <si>
    <t>5.1.1 จัดมหกรรมครัวสุขภาพเพื่อมหานคร</t>
  </si>
  <si>
    <t>สนง.พาณิชย์จังหวัดอ่างทอง</t>
  </si>
  <si>
    <t xml:space="preserve">5.1.2 การทำการตลาดเชิงรุก (Road show) </t>
  </si>
  <si>
    <t xml:space="preserve">5.3 ส่งเสริมการบริโภคตลาดภายในกลุ่มจังหวัด
</t>
  </si>
  <si>
    <t>5.3.1 ส่งเสริมการบริโภคผลผลิตที่ผลิตได้ในจังหวัด/กลุ่มจังหวัด</t>
  </si>
  <si>
    <t>6.การขนส่งสินค้าและจัดการบริหารสินค้า (Logistic)</t>
  </si>
  <si>
    <t>6.1 พัฒนาศูนย์รวบรวม และกระจายผลผลิต</t>
  </si>
  <si>
    <t>6.1.1 พัฒนาการรวบรวม และขนส่งผลผลิต</t>
  </si>
  <si>
    <t xml:space="preserve">6.1.1.1 พัฒนาระบบรวบรวมและการขนส่งผลผลิต </t>
  </si>
  <si>
    <t xml:space="preserve">6.1.1.2 ปรับปรุงศูนย์รวบรวมผลผลิตและจัดหาอุปกรณ์ </t>
  </si>
  <si>
    <t>สนง.เกษตรและสหกรณ์จังหวัดอ่างทอง</t>
  </si>
  <si>
    <t>6.3 พัฒนาระบบฐานข้อมูลย้อนกลับเพื่อการตรวจสอบคุณภาพสินค้า</t>
  </si>
  <si>
    <t>6.3.1 จัดทำฐานข้อมูลผู้ผลิต และจัดทำApplication การตรวจสอบข้อมูลย้อนกล้บของสินค้า</t>
  </si>
  <si>
    <t>7.1 ปรับปรุงระบบบริหารจัดการขยะจังหวัดอ่างทอง</t>
  </si>
  <si>
    <t>7.1.1 ก่อสร้างถนน คสล. พร้อมระบบระบายน้ำและปรับปรุงถนนโดยรอบศูนย์ฯ</t>
  </si>
  <si>
    <t>7.1.2 จัดซื้อรถแทรกเตอร์ตีนตะขาบ 1 คัน รถขุดดินตีนตะขาบ 1 คัน รถบรรทุกขยะ 
4 คัน</t>
  </si>
  <si>
    <t>7.4. ปรับปรุงเขื่อนป้องกันตลิ่ง หมู่ 2 ตำบลไชโย อำเภอไชโย จังหวัดอ่างทอง</t>
  </si>
  <si>
    <t>7.5 ปรับปรุงเขื่อนป้องกันตลิ่ง หมู่ 4 ตำบลราชสถิตย์ อำเภอไชโย จังหวัดอ่างทอง</t>
  </si>
  <si>
    <t>7.7 ปรับปรุงเขื่อนป้องกันตลิ่ง หมู่ 2 ตำบลหลักฟ้า อำเภอไชโย จังหวัดอ่างทอง</t>
  </si>
  <si>
    <t>7.9 ปรับปรุงเขื่อนป้องกันตลิ่ง หมู่ 4 ตำบลย่านซื่อ อำเภอเมือง จังหวัดอ่างทอง</t>
  </si>
  <si>
    <t>7.10 ปรับปรุงซ่อมแซมถนนภายในหมู่บ้าน หมู่ 2,3 ตำบลวังน้ำเย็น อำเภอแสวงหา</t>
  </si>
  <si>
    <t>7.11 ก่อสร้างถนนคอนกรีตเสริมเหล็กภายในหมู่บ้าน หมู่ 5 ตำบลวังน้ำเย็น อำเภอแสวงหา</t>
  </si>
  <si>
    <t>7.12 ปรับปรุงขยายท่อเมนประปาหมู่บ้านหมู่ที่ 6 ตำบลวังน้ำเย็น อำเภอแสวงหา</t>
  </si>
  <si>
    <t>โครงการท่องเที่ยวอารยธรรมวิถีไทยลุ่มแม่น้ำเจ้าพระยาป่าสัก</t>
  </si>
  <si>
    <t>1.วางแผนยุทธศาสตร์การท่องเที่ยว</t>
  </si>
  <si>
    <t xml:space="preserve"> 1.1 พัฒนาฐานข้อมูลมรดกทางวัฒนธรรมด้านสถาปัตยกรรม ภูมิสถาปัตยกรรม
และคติชนวิทยาในกลุ่มภาคกลางตอนบน 2</t>
  </si>
  <si>
    <t>สนง.การท่องเที่ยวและกีฬาจังหวัดอ่างทอง</t>
  </si>
  <si>
    <t>1.4 สร้างความเชื่อมั่นด้านความปลอดภัยในชีวิตและทรัพย์สิน</t>
  </si>
  <si>
    <t>1.4.1 จัดตั้งศูนย์ควบคุมความปลอดภัยและบริการนักท่องเที่ยว</t>
  </si>
  <si>
    <t xml:space="preserve"> - ก่อสร้างอาคารศูนย์ควบคุมความปลอดภัยและบริการนักท่องเที่ยว</t>
  </si>
  <si>
    <t xml:space="preserve"> - ติดตั้งกล้อง CCTV </t>
  </si>
  <si>
    <t>3.3 พัฒนาโครงสร้างพื้นฐาน (ถนน และสิ่งอำนวยความสะดวกบริการแก่นักท่องเที่ยว)</t>
  </si>
  <si>
    <t>3.3.1 ป้ายบอกทางและสื่อความหมายในแหล่งท่องเที่ยว</t>
  </si>
  <si>
    <t>3.3.1.1 ติดตั้งป้ายแนะนำแหล่งท่องเที่ยว สาย อท.4002 (วัดไชโยวรวิหาร) 1 แห่ง</t>
  </si>
  <si>
    <t>3.3.1.6 ติดตั้งป้ายแนะนำแหล่งท่องเที่ยว ทางหลวงหมายเลข 32  
(โครงการฟาร์มตัวอย่างตามพระราชดำริหนองระหารจีน) 1 แห่ง</t>
  </si>
  <si>
    <t xml:space="preserve">3.3.1.7 ติดตั้งป้ายแนะนำแหล่งท่องเที่ยว สาย อท. 2040 
(โครงการฟาร์มตัวอย่างตามพระราชดำริหนองระหารจีน) 1 แห่ง </t>
  </si>
  <si>
    <t>3.3.1.8 ติดตั้งป้ายแนะนำแหล่งท่องเที่ยว ทางหลวงหมายเลข 3064  
(โครงการฟาร์มตัวอย่างตามพระราชดำริสีบัวทอง) 1 แห่ง</t>
  </si>
  <si>
    <t>แขวงทางหลวงอ่างทอง</t>
  </si>
  <si>
    <t xml:space="preserve">3.3.5 ก่อสร้างถนน คสล. หมู่ 7,8,9 ตำบลรำมะสัก อำเภอโพธิ์ทอง เชื่อมต่อ 
ตำบลวังน้ำเย็น อำเภอแสวงหา </t>
  </si>
  <si>
    <t>3.3.8 ก่อสร้างถนน คสล. หมู่ 6 ตำบลอบทม อำเภอสามโก้ เชื่อมต่อหมู่ 3
ตำบลสาวร้องไห้ อำเภอวิเศษชัยชาญ (ยอดจริง 6,069,000 บาท)</t>
  </si>
  <si>
    <t xml:space="preserve">3.3.11 ก่อสร้างถนน คสล.หมู่ที่ 2,5 ตำบลไผ่วง อำเภอวิเศษชัยชาญ </t>
  </si>
  <si>
    <t>3.3.12 ก่อสร้างถนน คสล. เชื่อมต่อระหว่างหมู่ 3 ตำบลโคกพุทรา-หมู่ 5 
ตำบลบางเจ้าฉ่า อำเภอโพธิ์ทอง</t>
  </si>
  <si>
    <t xml:space="preserve">3.4 สร้างกิจกรรมท่องเที่ยวใหม่ ๆ ให้สอดคล้องกับความสนใจ </t>
  </si>
  <si>
    <t>3.4.1 จัดกิจกรรมสร้างแรงดึงดูดนักท่องเที่ยว</t>
  </si>
  <si>
    <t>3.4.1.1 จัดงานอ่างทอง 5 ที่สุด สิ่งศักดิ์สิทธิ์</t>
  </si>
  <si>
    <t>3.6 ส่งเสริม/ อนุรักษ์/ ฟื้นฟู/ ปรับปรุง/ บูรณะ/ พัฒนาแหล่งท่องเที่ยว</t>
  </si>
  <si>
    <t>3.6.1 พัฒนาแหล่งท่องเที่ยวที่สำคัญในจังหวัดอ่างทอง</t>
  </si>
  <si>
    <t>3.6.1.1  ปรับปรุงภูมิทัศน์บริเวณวัดขุนอินทประมูล ตำบลอินทประมูล อำเภอโพธิ์ทอง</t>
  </si>
  <si>
    <t>สนง.โยธาธิการและผังเมืองจังหวัดอ่างทอง</t>
  </si>
  <si>
    <t>3.6.1.3 ปรับปรุงภูมิทัศน์ สิ่งอำนวยความสะดวก บริเวณวัดจันทรังษี อำเภอเมือง จังหวัดอ่างทอง</t>
  </si>
  <si>
    <t xml:space="preserve">    - ปรับปรุงเส้นทาง สร้างเกาะกลางถนนแบบยกเกาะ สาย 3195 
    ตอนแยกวิเศษชัยชาญ - แยกป่างิ้ว อำเภอเมือง จังหวัดอ่างทอง  </t>
  </si>
  <si>
    <t>3.6.1.5 ปรับปรุงภูมิทัศน์และสิ่งอำนวยความสะดวก วัดไชโยวรวิหาร อำเภอไชโย จังหวัดอ่างทอง</t>
  </si>
  <si>
    <t xml:space="preserve">    - สร้างศาลาคลุมทางเดินริมเขื่อนบริเวณวัดไชโยวรวิหาร อำเภอไชโย</t>
  </si>
  <si>
    <t xml:space="preserve">    - ก่อสร้างห้องน้ำและสิ่งอำนวยความสะดวกแก่นักท่องเที่ยว</t>
  </si>
  <si>
    <t>อำเภอป่าโมก</t>
  </si>
  <si>
    <t xml:space="preserve">    - ปรับปรุงภูมิทัศน์และสิ่งอำนวยความสะดวก</t>
  </si>
  <si>
    <t xml:space="preserve">     -  ปรับปรุงภูมิทัศน์และสิ่งอำนวยความสะดวก</t>
  </si>
  <si>
    <t xml:space="preserve">     - ปรับปรุงอาคารอเนกประสงค์เทิดพระเกียรติ</t>
  </si>
  <si>
    <t>3.7 ยกระดับคุณภาพสิ่งอำนวยความสะดวกในสถานที่ท่องเที่ยว</t>
  </si>
  <si>
    <t>4.พัฒนาธุรกิจบริการการท่องเที่ยว</t>
  </si>
  <si>
    <t>4.2 พัฒนามาตรฐานธุรกิจบริการที่เกี่ยวเนื่องกับการท่องเที่ยว</t>
  </si>
  <si>
    <t>4.2.1  ออกแบบจัดสร้างร้านจำหน่ายสินค้าตลาดย้อนยุค  แบบโมบาย จำนวน 20 ร้าน</t>
  </si>
  <si>
    <t>สนง.พัฒนาชุมชนจังหวัดอ่างทอง</t>
  </si>
  <si>
    <t>4.3 พัฒนามาตรฐานสินค้าของฝากและของที่ระลึก</t>
  </si>
  <si>
    <t xml:space="preserve">4.3.1 พัฒนาผลิตภัณฑ์ชุมชนเพื่อการท่องเที่ยวและเพิ่มช่องทางการตลาด
</t>
  </si>
  <si>
    <t>5.พัฒนาการตลาดและประชาสัมพันธ์</t>
  </si>
  <si>
    <t>5.2 ประชาสัมพันธ์สร้างภาพลักษณ์</t>
  </si>
  <si>
    <t>5.2.1 จัดทำสื่อประชาสัมพันธ์ส่งเสริมการท่องเที่ยว</t>
  </si>
  <si>
    <t xml:space="preserve"> 5.2.1.1 ประชาสัมพันธ์ Story ส่งเสริมการท่องเที่ยวเชิงรุกกลุ่มจังหวัดภาคกลางตอนบน 2 (จังหวัดอ่างทองเป็นเจ้าภาพกลุ่มจังหวัด)</t>
  </si>
  <si>
    <t>5.2.2 จัดทำสื่อประชาสัมพันธ์กิจกรรมท่องเที่ยว (ป้ายbillboard+เอกสารประชาสัมพันธ์)</t>
  </si>
  <si>
    <t>รวมทั้งสิ้น</t>
  </si>
  <si>
    <t>เบิกจ่าย</t>
  </si>
  <si>
    <t>3.6.1.4 ปรับปรุงภูมิทัศน์และสิ่งอำนวยความสะดวก บริเวณวัดม่วง 
อำเภอวิเศษชัยชาญ จังหวัดอ่างทอง</t>
  </si>
  <si>
    <t>1.2.2.1 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
ตำบลอ่างแก้ว อำเภอโพธิ์ทอง</t>
  </si>
  <si>
    <t>1.2.2.3 ก่อสร้างถนน คสล.หมู่ 3 บ้านดอนตูม ตำบลรำมะสัก เชื่อมต่อหมู่ 5 ตำบลยางช้าย อำเภอโพธิ์ทอง</t>
  </si>
  <si>
    <t>7.2 ปรับปรุงคันกั้นน้ำ หมู่ 3 และ หมู่ 4 ตำบลโผงเผง อำเภอป่าโมก 
จังหวัดอ่างทอง</t>
  </si>
  <si>
    <t>7.3 ปรับปรุงคันกั้นน้ำ หมู่ 5 และ หมู่ 6 ตำบลโผงเผง อำเภอป่าโมก 
จังหวัดอ่างทอง</t>
  </si>
  <si>
    <t>1.1.1  ศึกษาแหล่งท่องเที่ยวเพื่อจัดทำ Story ส่งเสริมการท่องเที่ยวเชิงรุกกลุ่มจังหวัดภาคกลางตอนบน 2 (จังหวัดอ่างทองเป็นเจ้าภาพกลุ่มจังหวัด)</t>
  </si>
  <si>
    <t xml:space="preserve">3.3.1.2 ติดตั้งป้ายแนะนำแหล่งท่องเที่ยว สาย อท.3003
 (วัดขุนอินทประมูล) 1 แห่ง </t>
  </si>
  <si>
    <t>3.3.1.4 ติดตั้งป้ายแนะนำแหล่งท่องเที่ยว ทางหลวงหมายเลข 3195 
(วัดม่วง) 1 แห่ง</t>
  </si>
  <si>
    <t>3.3.1.5 ติดตั้งป้ายแนะนำแหล่งท่องเที่ยว ทางหลวงหมายเลข 3501 
 (วัดป่าโมกวรวิหาร) 1 แห่ง</t>
  </si>
  <si>
    <t xml:space="preserve">3.3.1.3 ติดตั้งป้ายแนะนำแหล่งท่องเที่ยว สาย อท.2040 (วัดจันทรังษี)
 1 แห่ง </t>
  </si>
  <si>
    <t>3.3.6 ก่อสร้างถนนลาดยางสายเชื่อมต่อระหว่างหนองคันไชย หมู่ 3  
ตำบลโคกพุทรา-หมู่ 3 ตำบลหนองแม่ไก่ อำเภอโพธิ์ทอง</t>
  </si>
  <si>
    <t>3.3.4 ปรับปรุงภูมิทัศน์เกาะกลางถนนสาย ทล.334 จากแยกต่างระดับ
สายเอเชีย-สี่แยกบ้านรอ</t>
  </si>
  <si>
    <t xml:space="preserve">3.3.7 ก่อสร้างถนน คสล.หมู่ 7 ตำบลมงคลธรรมนิมิต อำเภอสามโก้ เชื่อมต่อหมู่ 7 ตำบลรำมะสัก อำเภอโพธิ์ทอง </t>
  </si>
  <si>
    <t>3.3.9 ก่อสร้างปรับปรุงซ่อมแซมผิวจราจรถนนปู่ดอก-ปู่ทองแก้ว ตั้งแต่ถนนโพธิ์พระยา-ท่าเรือ ถึงถนนปู่ดอก-ปู่ทองแก้ว 21 ตำบลไผ่จำศีล 
อำเภอวิเศษชัยชาญ</t>
  </si>
  <si>
    <t>3.3.10 ก่อสร้างถนนคสล. หมู่ที่ 2  ตำบลสาวร้องไห้ อำเภอวิเศษชัยชาญ ช่วงที่ 1 จากถนนลาดยางสายสาวร้องไห้-ไผ่วง ถึงหมู่บ้านตาลหัก ช่วงที่ 2 จากหลังโบสถ์วัดสิทฯ ถึง อบตำบลสาวร้องไห้  (หลังเก่า)</t>
  </si>
  <si>
    <t xml:space="preserve">3.6.1.2 ติดตั้งไฟฟ้าแสงสว่างเพื่อความปลอดภัยสาย อท.3003 แยก 
ทล.309-บ.บางพลับ                        </t>
  </si>
  <si>
    <t xml:space="preserve">   - ติดตั้งไฟฟ้าแสงสว่างเพื่อความปลอดภัยสาย อท.2040 แยก 
ทล.32-บ.โรงช้าง</t>
  </si>
  <si>
    <t>3.6.1.6 ปรับปรุงภูมิทัศน์และสิ่งอำนวยความสะดวก  
บริเวณวัดป่าโมกวรวิหาร  อำเภอป่าโมก จังหวัดอ่างทอง</t>
  </si>
  <si>
    <t>3.3.1.7 ปรับปรุงภูมิทัศน์และสิ่งอำนวยความสะดวกโครงการแก้มลิง
หนองเจ็ดเส้น อำเภอป่าโมก จังหวัดอ่างทอง</t>
  </si>
  <si>
    <t>3.6.1.9 พัฒนาโครงการฟาร์มตัวอย่างตามพระราชดำริในสมเด็จพระนางเจ้าสิริกิติ์ พระบรมราชินีนาถ ตำบลสีบัวทอง อำเภอแสวงหา 
จังหวัดอ่างทอง</t>
  </si>
  <si>
    <t>ก่อสร้างถนนคอนกรีตเสริมเหล็กปูทับด้วยแอสฟัสท์ติกคอนกรีต 
(สายที่ 1) ตำบลเอกราช อำเภอป่าโมก จังหวัดอ่างทอง</t>
  </si>
  <si>
    <t>ก่อสร้างถนนคอนกรีตเสริมเหล็ก หมู่ที่ 10 ตำบลสีบัวทอง เชื่อมต่อ
หมู่ที่ 7 ตำบลแสวงหา อำเภอแสวงหา จังหวัดอ่างทอง</t>
  </si>
  <si>
    <t>ก่อสร้างถนนคอนกรีตเสริมเหล็ก หมู่ที่ 9 ตำบลบ้านพราน เชื่อมต่อ
หมู่ที่ 1 ตำบลวังน้ำเย็น อำเภอแสวงหา จังหวัดอ่างทอง</t>
  </si>
  <si>
    <t>ก่อสร้างสะพานคอนกรีตเสริมเหล็ก หมู่ที่ 2 ตำบลยางช้าย 
อำเภอโพธิ์ทอง จังหวัดอ่างทอง</t>
  </si>
  <si>
    <t>ส่งเสริมและพัฒนาฟาร์มตัวอย่างตามพระราชดำริ 
ในสมเด็จพระนางเจ้าฯ พระบรมราชินีนาถ หนองระหารจีน 
ตำบลบ้านอิฐ อำเภอเมืองอ่างทอง จังหวัดอ่างทอง</t>
  </si>
  <si>
    <t>ส่งเสริมและพัฒนาฟาร์มตัวอย่างตามพระราชดำริ
 ในสมเด็จพระนางเจ้าฯ พระบรมราชินีนาถ บ้านยางกลาง 
ตำบลสีบัวทอง อำเภอแสวงหา จังหวัดอ่างทอง</t>
  </si>
  <si>
    <t>4.4.7 โครงการวันพุธวันกีฬา จังหวัดอ่างทอง (Wednesday Sports Angthong)</t>
  </si>
  <si>
    <t>4.4.8 โครงการค่ายครอบครัว "สานใจไทย สู่ใจใต้" 
รุ่นที่ 30 จังหวัดอ่างทอง</t>
  </si>
  <si>
    <t>5.2.5 โครงการประชาสัมพันธ์กิจกรรมส่งเสริมการท่องเที่ยวจังหวัดอ่างทอง ประจำปีงบประมาณ 
พ.ศ. 2560</t>
  </si>
  <si>
    <t xml:space="preserve"> 1.2.1.1 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</t>
  </si>
  <si>
    <t>1.2.1.2 จัดหาแหล่งน้ำพร้อมระบบกระจาย ช่วยเหลือพื้นที่การเกษตรในเขต ตำบลราชสถิตย์,ตำบลเทวราช อำเภอไชโย</t>
  </si>
  <si>
    <t>1.2.2.2 ก่อสร้างถนนลาดยางคันคลองระบายใหญ่แม่น้ำน้อย 4 ฝั่งขวา (บ้านงิ้วราย-วัดคู) เขตพื้นที่ ตำบลยางช้าย อำเภอโพธิ์ทอง เชื่อมต่อ
 ตำบลม่วงเตี้ย อำเภอวิเศษชัยชาญ</t>
  </si>
  <si>
    <t>ตำรวจภูธรจังหวัดอ่างทอง</t>
  </si>
  <si>
    <t xml:space="preserve">    - ติดตั้งไฟฟ้าแสงสว่างเพื่อความปลอดภัยสาย อท.4002 แยก ทล.3064 บ.มหานาม</t>
  </si>
  <si>
    <t>3.6.1.8 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อำเภอเมือง จังหวัดอ่างทอง</t>
  </si>
  <si>
    <t>ห้างหุ้นส่วนจำกัดวายเฮาส์ คอนสตรัคชั่น</t>
  </si>
  <si>
    <t xml:space="preserve">เริ่ม 7 มี.ค.60
สิ้นสุด 29 มี.ค. 60 </t>
  </si>
  <si>
    <t>สนง.ท้องถิ่นจังหวัดอ่างทอง</t>
  </si>
  <si>
    <t xml:space="preserve">  - ปลูกต้นไม้</t>
  </si>
  <si>
    <t xml:space="preserve">  - ซ่อมแซมสะพาน</t>
  </si>
  <si>
    <t xml:space="preserve">  - ก่อสร้างสะพานทางโค้ง</t>
  </si>
  <si>
    <t>ข้อมูล ณ วันที่ 15 มีนาคม 2560</t>
  </si>
  <si>
    <t>ร้านวิเชียรการช่าง</t>
  </si>
  <si>
    <t>เริ่ม 21 ก.พ. 60 ถึง 2 มี.ค. 60</t>
  </si>
  <si>
    <t>ยกเลิกโครงการ
ลงนามไม่ทัน 31 มี.ค.60</t>
  </si>
  <si>
    <t>4.4.9 โครงการสำรวจสำมะโนครัวเรือนเพื่อพัฒนาครอบครัวเป็นสุข ประจำปีงบประมาณ 2560</t>
  </si>
  <si>
    <t>เริ่ม 21 พ.ย.59 ถึง 20 ม.ค. 60 ขยายสัญญา สิ้นสุด 5 เม.ย.60</t>
  </si>
  <si>
    <t>1.6 โครงการพัฒนาการให้บริการของศูนย์ดำรงธรรมจังหวัดอ่างทอง</t>
  </si>
  <si>
    <t>7. ดำเนินกิจกรรมด้านการเกษตรและที่เกี่ยวข้องตามความต้องการและเพื่อแก้ไขปัญหาความเดือดร้อนของประชาชนในพื้นที่</t>
  </si>
  <si>
    <t>5.2.6 โครงการประชาสัมพันธ์กิจกรรมส่งเสริมการท่องเที่ยวจังหวัดอ่างทอง ประจำปีงบประมาณ 
พ.ศ. 2560 (ช่วงเดือนพฤษภาคม 2560)</t>
  </si>
  <si>
    <t>4.4.10 โครงการอำนวยการการจัดงานรัฐพิธีของจังหวัดอ่างทอง ประจำปีงบประมาณ 2560</t>
  </si>
  <si>
    <t>4.4.11 โครงการวันครอบครัวและรดน้ำขอพรผู้สูงอายุ จังหวัดอ่างทอง ประจำปีงบประมาณ 2560</t>
  </si>
  <si>
    <t xml:space="preserve">    - จัดซื้อรถรางระบบไฟฟ้า 35 ที่นั่ง จำนวน 2 คัน</t>
  </si>
  <si>
    <t xml:space="preserve"> - เครื่องคอมพิวเตอร์พร้อมอุปกรณ์ครบชุด</t>
  </si>
  <si>
    <t xml:space="preserve"> - เครื่องพิมพ์ชนิดเลเซอร์</t>
  </si>
  <si>
    <t xml:space="preserve"> - โต๊ะวางคอมพิวเตอร์</t>
  </si>
  <si>
    <t xml:space="preserve"> - เก้าอี้สำนักงาน</t>
  </si>
  <si>
    <t xml:space="preserve"> - โต๊ะทำงาน</t>
  </si>
  <si>
    <t xml:space="preserve"> - ล็อกเกอร์ 18 ช่อง</t>
  </si>
  <si>
    <t xml:space="preserve"> - โต๊ะพับอเนกประสงค์</t>
  </si>
  <si>
    <t xml:space="preserve"> - ไวท์บอร์ดแม่เหล็ก</t>
  </si>
  <si>
    <t>4.1.1.2 ค่าเครื่องจักรพร้อมอุปกรณ์</t>
  </si>
  <si>
    <t xml:space="preserve"> - ตู้แช่แข็ง ขนาด 9.5 คิว</t>
  </si>
  <si>
    <t xml:space="preserve"> - เครื่องบรรจุภัณฑ์สูญญากาศแบบมาตรฐาน ขนาด 1450*750*1000 mm รองรับขนาดถุงแวคคั่มไม่เกิน 60 cm ใช้ไฟ 380 (3 เฟส) ห้องดูดสูญญากาศ 670*540*50 mm 1.0000 เครื่อง</t>
  </si>
  <si>
    <t xml:space="preserve"> - เครื่องบดอาหาร ระบบไฟฟ้า มอเตอร์ 3 แรงม้า อัตโนมัติ</t>
  </si>
  <si>
    <t xml:space="preserve"> - โต๊ะแสตนเลสขากลม (กว้าง*ยาว*สูง) 80*180*80 ซม.</t>
  </si>
  <si>
    <t xml:space="preserve"> - ถังพลาสติกหมักวัตถุดิบ (ความจุ 300 ลิตร)</t>
  </si>
  <si>
    <t xml:space="preserve"> - เครื่องผสมอาหาร ระบบไฟฟ้า 1100 วัตต์ อัตโนมัติ ขนาด 20 ลิตร</t>
  </si>
  <si>
    <t xml:space="preserve"> - เตาทอดระบบไฟฟ้าตัดไฟฟ้าปรับอุณหภูมิ ขนาด 8+8 ลิตร 6000 วัตต์ </t>
  </si>
  <si>
    <t xml:space="preserve"> - ตู้อบพลังงานความร้อนทำงานด้วยแก๊สพร้อมอุปกรณ์</t>
  </si>
  <si>
    <t xml:space="preserve"> -  เครื่องสูบน้ำดีเซลขนาดไม่ต่ำกว่า 11 แรงม้า ท่อแสตนเลส ขนาด 8 นิ้ว ยาว 6 เมตร พร้อมอุปกรณ์ลากจูง</t>
  </si>
  <si>
    <t xml:space="preserve"> - เครื่องสูบน้ำเบนซินขนาดไม่ต่ำกว่า 6.5 แรงม้า ท่อขนาด 6 นิ้ว ยาว 4 เมตร</t>
  </si>
  <si>
    <t xml:space="preserve"> - เครื่องพ่นยาแรงดันสูงขนาดไม่ต่ำกว่า 6.5 แรงม้าพร้อมสายยาว 150 เมตร</t>
  </si>
  <si>
    <t xml:space="preserve"> - เครื่องตัดหญ้าเบนซิน 4 จังหวะ</t>
  </si>
  <si>
    <t xml:space="preserve"> - เรือแสตนเลสพร้อมอุปกรณ์ให้น้ำเครื่องยนต์เบนซิน ขนาดไม่ต่ำกว่า 6.5 แรงม้า</t>
  </si>
  <si>
    <t xml:space="preserve"> - โต๊ะหน้าพลาสติก</t>
  </si>
  <si>
    <t xml:space="preserve"> - คอมพิวเตอร์โน๊ตบุ๊ค</t>
  </si>
  <si>
    <t xml:space="preserve"> - ตู้เหล็ก 2 บาน</t>
  </si>
  <si>
    <t xml:space="preserve"> -  พันธุ์แพะ</t>
  </si>
  <si>
    <t xml:space="preserve"> -  เครื่องสูบโคลน เครื่องยนต์ดีเซล 4 จังหวะ 7 แรงม้า เส้นผ่านศูนย์กลางท่อดูด-ส่ง 3 นิ้ว</t>
  </si>
  <si>
    <t xml:space="preserve"> -  เครื่องสูบน้ำท่อพญานาค ขนาด 12 นิ้ว พร้อมแทรลเลอร์ลากจูงได้ง่าย เครื่องยนต์ดีเซล R6105ZD ขนาด 6 สูบกำลัง 90 Kw ชนิดต่อเหล็กความหนา 3.0 มิลลิเมตร อัตราความเร็วรอบ 1500 รอบต่อนาที</t>
  </si>
  <si>
    <t xml:space="preserve"> - เครื่องพ่นยาแบบสายสะพาย</t>
  </si>
  <si>
    <t xml:space="preserve"> -  ขุดแหล่งกักเก็บน้ำพร้อมปรับเกลี่ยดิน</t>
  </si>
  <si>
    <t xml:space="preserve"> - โรงเรือนอบแห้งพลังงานแสงอาทิตย์ ขนาด 6.00*8.20 ม. พร้อมอุปกรณ์</t>
  </si>
  <si>
    <t xml:space="preserve"> - จัดหารถบรรทุกห้องเย็นขนาด 2,500 CC</t>
  </si>
  <si>
    <t xml:space="preserve"> - โต๊ะแสตนแลส ขนาด 80*200*100 เซนติเมตร</t>
  </si>
  <si>
    <t xml:space="preserve"> - โต๊ะตะแกรงแสตนเลส ขนาด 80*200*100 ซม.</t>
  </si>
  <si>
    <t xml:space="preserve"> - เครื่องชั่งดิจิตอลแบบตั้งพื้น พิกัดน้ำหนัดชั่งน้ำหนักได้สูงสุด 300 กิโลกรัม ความละเอียดเครื่องชั่ง 40 กรัม</t>
  </si>
  <si>
    <t xml:space="preserve"> -  รถเข็นแสตนเลส ชั้นเดียว แฮนด์พับได้ 92*62*92 ซม. มีล้อขนาด 6 นิ้ว รับน้ำหนักได้ 350 กก.</t>
  </si>
  <si>
    <t xml:space="preserve"> - เก้าอี้แสตนเลสทรงกลมหมุนได้ 360 องศาเซลเซียส ปรับความสูงได้มีล้อเลื่อนเคลื่อนที่ได้</t>
  </si>
  <si>
    <t xml:space="preserve"> - ถังเก็บน้ำขนาด 1000 ลิตร วัสดุ PE (Polyethylene)</t>
  </si>
  <si>
    <t xml:space="preserve"> - เครื่องเป่ามือลมร้อนไฟ 2500 W</t>
  </si>
  <si>
    <t xml:space="preserve"> - เครื่องกรองน้ำระบบ R.O 5 ขั้นตอน อัตรากรอง 300 แกลลอน/วัน</t>
  </si>
  <si>
    <t xml:space="preserve"> - ไฟฉุกเฉิน LED Emergence light 12w,12v-7AH</t>
  </si>
  <si>
    <t xml:space="preserve"> - เครื่องพิมพ์ Multifunction ชนิดเลเซอร์/ชนิด LED สี</t>
  </si>
  <si>
    <t xml:space="preserve"> - อ่างน้ำแสตนเลส ขนาด 70*200*85 เซนติเมตร</t>
  </si>
  <si>
    <t xml:space="preserve"> - เครื่องปรับอากาศขนาด 30000 บีทียู</t>
  </si>
  <si>
    <t xml:space="preserve"> - อ่างแสตนเลส 2 หลุม ขนาด 70*180*85 ซม.</t>
  </si>
  <si>
    <t xml:space="preserve"> - อ่างแสตนเลส 3 หลุม ขนาด 80*200*100 ซม.</t>
  </si>
  <si>
    <t xml:space="preserve"> - ชั้นวางแสตนเลส 2 ชั้น ขนาด 100*200*70 ซม. พื้นชั้นบนเป็นซี่แสตนเลส ชั้นล่างเป็นถาดแสตนเลสพร้อมสะดือระบายน้ำ</t>
  </si>
  <si>
    <t xml:space="preserve"> -  เครื่องชั่งดิจิตอลแบบตั้งโต๊ะ พิกัดน้ำหนักชั่งน้ำหนักได้สูงสุด
 1 กิโลกรัม ความละเอียดเครื่องชั่ง 0.2 กรัม</t>
  </si>
  <si>
    <t xml:space="preserve"> -  ชั้นวางแสตนเลส 3 ชั้น พื้นชั้นเป็นแสตนเลส แผ่นแสตนเลสหนา
 1.2 มิลลิลิตร ขนาด 60*200*170 เซนติเมตร</t>
  </si>
  <si>
    <t xml:space="preserve"> -  รถเข็นแสตนเลส 2 ขั้น ขนิดมือจับเดี่ยว 88*51*89 ซม.</t>
  </si>
  <si>
    <t xml:space="preserve"> - ตู้เย็น 5 คิว</t>
  </si>
  <si>
    <t xml:space="preserve"> - พัดลมตั้งพื้น ขนาด 22 นิ้ว</t>
  </si>
  <si>
    <t xml:space="preserve"> - เครื่องปรับอากาศขนาด 24000 บีทียู</t>
  </si>
  <si>
    <t xml:space="preserve"> - ปรับปรุงอาคารคัดบรรจุผลผลิตทางการเกษตร (ผลไม้)</t>
  </si>
  <si>
    <t xml:space="preserve"> - จัดหารถบรรทุกผักพร้อมคอก ขนาด 2,400 CC</t>
  </si>
  <si>
    <t>5.3.2 ติดตามประเมินผลโครงการ</t>
  </si>
  <si>
    <t>5.2.7 โครงการประชาสัมพันธ์การดำเนินโครงการตามแนวทางสร้างความข้มแข็งและยั่งยืนให้กับเศรษฐกิจภายในประเทศ ประจำปีงบประมาณ พ.ศ.2560 (เพิ่มเติม)</t>
  </si>
  <si>
    <t xml:space="preserve"> - อำเภอสามโก้</t>
  </si>
  <si>
    <t xml:space="preserve"> - อำเภอป่าโมก</t>
  </si>
  <si>
    <t>หจก.วี.เอส.แม็ชชิ่ง</t>
  </si>
  <si>
    <t>หจก.ต้องก่อสร้าง</t>
  </si>
  <si>
    <t xml:space="preserve">สำนักงานการท่องเที่ยวและกีฬา
 - อำเภอไชโย     </t>
  </si>
  <si>
    <t>สำนักงานการท่องเที่ยวและกีฬา
 - อำเภอวิเศษชัยชาญ</t>
  </si>
  <si>
    <t xml:space="preserve">สำนักงานการท่องเที่ยวและกีฬา
 - อำเภอแสวงหา   </t>
  </si>
  <si>
    <t>สำนักงานการท่องเที่ยวและกีฬา
- อำเภอป่าโมก</t>
  </si>
  <si>
    <t>สำนักงานการท่องเที่ยวและกีฬา
- อำเภอไชโย</t>
  </si>
  <si>
    <t>2.1.1 ด้านพืชขออนุมัติจริง</t>
  </si>
  <si>
    <t>เริ่ม 5 พ.ค. 60 สิ้นสุด 3 ก.ค.60</t>
  </si>
  <si>
    <t>เริ่ม 25 เม.ย. 60 สิ้นสุด 20 ธ.ค. 60</t>
  </si>
  <si>
    <t>เริ่ม 24 เม.ย. 60 สิ้นสุด 24 พ.ค. 60</t>
  </si>
  <si>
    <t>เริ่ม 13 เม.ย. 60 สิ้นสุด 27 พ.ค. 60</t>
  </si>
  <si>
    <t>เริ่ม 13 เม.ย. 60 สิ้นสุด 11 มิ.ย. 60</t>
  </si>
  <si>
    <t>เริ่ม 26 เม.ย. 60 สิ้นสุด 25 ก.ค. 60</t>
  </si>
  <si>
    <t>เริ่ม 26 เม.ย. 60 สิ้นสุด 25 มิ.ย. 60</t>
  </si>
  <si>
    <t xml:space="preserve">    - ปรับปรุงขยายผิวจราจรแอสฟัลท์ติกคอนกรีตสาย ทางหลวงชนบท อท.2034 แยก ทล.32-บ.มหานาม (ตอนที่ 4)</t>
  </si>
  <si>
    <t>เริ่ม 25 เม.ย. 60 สิ้นสุด 23 ก.ค. 60</t>
  </si>
  <si>
    <t>เริ่ม 21 เม.ย. 60 สิ้นสุด 19 มิ.ย. 60</t>
  </si>
  <si>
    <t>ร้านออโต้ไอที</t>
  </si>
  <si>
    <t>ยกเลิกโครงการ</t>
  </si>
  <si>
    <t>เริ่ม17 ธ.ค.59 สิ้นสุด 16 มี.ค. 60</t>
  </si>
  <si>
    <t>เริ่ม 29 ธ.ค.59 สิ้นสุด 27 มิ.ย. 60</t>
  </si>
  <si>
    <t>เริ่ม 30 ธ.ค.59 สิ้นสุด 15 ก.พ.60</t>
  </si>
  <si>
    <t>เริ่ม 30 ธ.ค.59 สิ้นสุด 10 ม.ค.60</t>
  </si>
  <si>
    <t>เริ่ม 16 พ.ย. 59 สิ้นสุด 13 ก.ย. 60</t>
  </si>
  <si>
    <t>เริ่ม 25 เม.ย. 60 สิ้นสุด 24 ก.ค. 60</t>
  </si>
  <si>
    <t>เริ่ม 29 พ.ย. 59 สิ้นสุด 28 ม.ค. 60</t>
  </si>
  <si>
    <t>เริ่ม 24 พ.ย. 59
สิ้นสุด 22 ก.พ. 60</t>
  </si>
  <si>
    <t>เริ่ม 10 ธ.ค.59 สิ้นสุด 9 มี.ค.60</t>
  </si>
  <si>
    <t>เริ่ม 28 ธ.ค. 59 สิ้นสุด 25 มิ.ย.60</t>
  </si>
  <si>
    <t>เริ่ม 16 ธ.ค. 59 สิ้นสุด 11 ต.ค.60</t>
  </si>
  <si>
    <t>เริ่ม 16 พ.ย. 59
สิ้นสุด 13 ก.พ. 60</t>
  </si>
  <si>
    <t>เริ่ม 26ธ.ค.59 สิ้นสุด 24 ก.พ.60</t>
  </si>
  <si>
    <t>เริ่ม 4 มี.ค.60
 สิ้นสุด 30 ส.ค. 60</t>
  </si>
  <si>
    <t>เริ่ม 25พ.ย. 59
 สิ้นสุด 15 ธ.ค. 59</t>
  </si>
  <si>
    <t>เริ่ม 27 ม.ค. 59สิ้นสุด 25 พ.ค. 60</t>
  </si>
  <si>
    <t>เริ่ม 28 พ.ย. 59สิ้นสุด 20 มี.ค. 60</t>
  </si>
  <si>
    <t>เริ่ม 30 พ.ย. 59สิ้นสุด 30 มี.ค. 60</t>
  </si>
  <si>
    <t>เริ่ม 28 พ.ย. 59สิ้นสุด 27 ม.ค. 60</t>
  </si>
  <si>
    <t>เริ่ม 30 พ.ย. 59
สิ้นสุด 27 ก.พ. 60</t>
  </si>
  <si>
    <t>เริ่ม 30 พ.ย. 59สิ้นสุด 25 ก.ย. 60</t>
  </si>
  <si>
    <t>เริ่ม 27 ธ.ค. 59
สิ้นสุด 25 เม.ย. 60</t>
  </si>
  <si>
    <t>เริ่ม 1 ธ.ค. 59
สิ้นสุด 28 ก.พ. 60</t>
  </si>
  <si>
    <t>เริ่ม 16 พ.ย. 59
สิ้นสุด 16 ม.ค. 60</t>
  </si>
  <si>
    <t xml:space="preserve">เริ่ม 22 พ.ย. 59 สิ้นสุด 19 ก.พ. 60 </t>
  </si>
  <si>
    <t>เริ่ม 28 พ.ย. 59
สิ้นสุด 28 ม.ค. 60</t>
  </si>
  <si>
    <t>เริ่ม 24 พ.ย. 59
สิ้นสุด 23 ธ.ค. 59</t>
  </si>
  <si>
    <t>เริ่ม 9 ธ.ค. 59 
สิ้นสุด 6 ก.พ. 60</t>
  </si>
  <si>
    <t>เริ่ม 24 ธ.ค. 59สิ้นสุด 22 เม.ย. 60</t>
  </si>
  <si>
    <t>เริ่ม 16 ธ.ค. 59สิ้นสุด 14 ก.พ. 60</t>
  </si>
  <si>
    <t>เริ่ม 16 ธ.ค. 59สิ้นสุด 16 มี.ค. 60</t>
  </si>
  <si>
    <t>เริ่ม 9 ธ.ค. 59 สิ้นสุด 6 ก.ค. 60</t>
  </si>
  <si>
    <t>เริ่ม 24 ก.พ. 60สิ้นสุด 28 เม.ย. 60</t>
  </si>
  <si>
    <t>1.2.1.3 จัดหาแหล่งน้ำพร้อมระบบกระจาย ช่วยเหลือพื้นที่การเกษตรในเขตตำบลสายทอง,ตำบลบางเสด็จ อำเภอป่าโมก</t>
  </si>
  <si>
    <t>1.2.1.4 จัดหาแหล่งน้ำพร้อมระบบกระจาย ช่วยเหลือพื้นที่การเกษตรในเขตตำบลรำมะสัก อำเภอโพธิ์ทอง</t>
  </si>
  <si>
    <t>1.2.1.5 จัดหาแหล่งน้ำพร้อมระบบกระจาย ช่วยเหลือพื้นที่การเกษตรในเขตตำบลวังน้ำเย็น อำเภอแสวงหา</t>
  </si>
  <si>
    <t>1.2.1.6 จัดหาแหล่งน้ำพร้อมระบบกระจาย ช่วยเหลือพื้นที่การเกษตรในเขตตำบลอบทม, ตำบลโพธิ์ม่วงพันธ์ อำเภอสามโก้</t>
  </si>
  <si>
    <t>1.2.1.7 จัดหาแหล่งน้ำพร้อมระบบกระจาย ช่วยเหลือพื้นที่การเกษตรในเขตตำบลสาวร้องไห้ อำเภอวิเศษชัยชาญ</t>
  </si>
  <si>
    <t>1.2.1.8 แก้มลิงสีบัวทอง พร้อมอาคารประกอบ ตำบลสีบัวทอง 
อำเภอแสวงหา จังหวัดอ่างทอง</t>
  </si>
  <si>
    <t xml:space="preserve">1.2.1.12 ปรับปรุงบึงลาดจินจาน พร้อมอาคารประกอบ ตำบลไผ่ดำพัฒนา อำเภอวิเศษชัยชาญ </t>
  </si>
  <si>
    <t>หจก.ประสิทธิ์รุ่งเรือง</t>
  </si>
  <si>
    <t>เริ่ม 15 พ.ค. 60 สิ้นสุด13 ส.ค.60</t>
  </si>
  <si>
    <t>เริ่ม 9 พ.ค. 60 สิ้นสุด 14 ส.ค.60</t>
  </si>
  <si>
    <t>เริ่ม 11 พ.ค. 60 สิ้นสุด 13 พ.ย. 60</t>
  </si>
  <si>
    <t>บริษัท ที ดี ดี ก่อสร้างจำกัด</t>
  </si>
  <si>
    <t>เริ่ม 9 พ.ค. 60 สิ้นสุด 20 พ.ย. 60</t>
  </si>
  <si>
    <t>หจก.พิษณุการุณ</t>
  </si>
  <si>
    <t>เริ่ม 5 พ.ค. 60 สิ้นสุด 25 พ.ค. 60</t>
  </si>
  <si>
    <t>บริษัท วิซ เวน เดอร์ จำกัด</t>
  </si>
  <si>
    <t>หจก.เสนีย์อ่างทองก่อสร้าง</t>
  </si>
  <si>
    <t>ร้าน ทิพย์ เฟอร์นิเทค</t>
  </si>
  <si>
    <t>หจก.ต้อง ก่อสร้าง</t>
  </si>
  <si>
    <t>หจก.วี.เอส.
แมชชิ่ง</t>
  </si>
  <si>
    <t>7) ค่าเช่าเครื่องถ่ายเอกสาร 1 เครื่องๆ ละ 12 เดือนๆ ละ 1,3000 บาท</t>
  </si>
  <si>
    <t>ร้านปิยะผล 2</t>
  </si>
  <si>
    <t>บริษัท เพิ่มพูลทรัพย์อ่างทอง(1991) จำกัด</t>
  </si>
  <si>
    <t>หจก.ม่วงเตี้ยรุ่งเรือง</t>
  </si>
  <si>
    <t>บริษัท ดี พี เทรดดิ้ง จำกัด</t>
  </si>
  <si>
    <t>บริษัท คลีโนซอล ทราฟฟิค ประเทศไทย จำกัด</t>
  </si>
  <si>
    <t>เริ่ม 24 เม.ย. 60 สิ้นสุด 21 ก.ย. 60</t>
  </si>
  <si>
    <t>หจก.ชฎาธาร คอนสตรัคชั่น แอนด์ อิมปอร์ต เอ็กซ์ปอร์ต</t>
  </si>
  <si>
    <t>หจก.สองฝั่งการเกษตร</t>
  </si>
  <si>
    <t>บริษัท วีรมาศการเกษตร จำกัด</t>
  </si>
  <si>
    <t>เริ่ม 24 เม.ย. 60 สิ้นสุด 9 พ.ค. 60</t>
  </si>
  <si>
    <t>ร้าน อุไร แดงนิ่ม โดยแดงนิ่ม</t>
  </si>
  <si>
    <t>นางสาวนุชลี ขวัญเกตุ</t>
  </si>
  <si>
    <t>งบดำเนินการ</t>
  </si>
  <si>
    <t>เริ่ม 27 พ.ค. 60 สิ้นสุด 23 ก.ย. 60</t>
  </si>
  <si>
    <t>บัญชีเบิกจ่ายงบประมาณรายจ่ายประจำปีงบประมาณ พ.ศ. 2560 เพิ่มเติม</t>
  </si>
  <si>
    <t>สนง.สหกรณ์จังหวัด</t>
  </si>
  <si>
    <t>ลงทุน</t>
  </si>
  <si>
    <t>หจก.ธนกร 999 เดเวลอปเม้นท์</t>
  </si>
  <si>
    <t>เริ่ม 31 พ.ค. 60 สิ้นสุด 26 ม.ค. 61</t>
  </si>
  <si>
    <t>3.พัฒนาแหล่งท่องเที่ยวและกิจกรรมการท่องเที่ยว</t>
  </si>
  <si>
    <t>งบประมาณ</t>
  </si>
  <si>
    <t>8. โครงการยกระดับผลิตภัณฑ์ตามมาตรฐานการส่งออก</t>
  </si>
  <si>
    <t>เริ่ม 31 พ.ค. 60 สิ้นสุด 29 ก.ค. 60</t>
  </si>
  <si>
    <t>หจก.อมรชัยรุ่งเรืองก่อสร้าง</t>
  </si>
  <si>
    <t>หจก.บางจักการโยธา</t>
  </si>
  <si>
    <t>เริ่ม 16 พ.ค. 60 สิ้นสุด 12 ก.ย. 60</t>
  </si>
  <si>
    <t>หจก.บุญรุ่งเรือง</t>
  </si>
  <si>
    <t>เริ่ม 31 พ.ค. 60 สิ้นสุด 30 ก.ค. 60</t>
  </si>
  <si>
    <t>เริ่ม 29 พ.ค. 60 สิ้นสุด 25 พ.ย. 61</t>
  </si>
  <si>
    <t>เริ่ม 30 พ.ค. 60 สิ้นสุด 27 ก.ย. 60</t>
  </si>
  <si>
    <t>เริ่ม 30 พ.ค. 60 สิ้นสุด 28 ส.ค. 60</t>
  </si>
  <si>
    <t>เริ่ม 29 พ.ค. 60 สิ้นสุด 28 ก.ค. 60</t>
  </si>
  <si>
    <t>บริษัท ทีเอ็นเอ็น จำกัด</t>
  </si>
  <si>
    <t>เริ่ม 5 พ.ค. 60 สิ้นสุด 3 ส.ค. 60</t>
  </si>
  <si>
    <t>หจก.ภัทรากรรุ่งเรือง</t>
  </si>
  <si>
    <t>เริ่ม 9 พ.ค. 60 สิ้นสุด 4 ม.ค. 60</t>
  </si>
  <si>
    <t>บริษัท เอ.พี.ซัพพลาย แอนด์ พาร์ท จำกัก</t>
  </si>
  <si>
    <t>เริ่ม 26 พ.ค. 60 สิ้นสุด 23 ก.ย. 60</t>
  </si>
  <si>
    <t>บริษัท วี บี เอ็นจิ้น อิมเพ็กซ์ จำกัด</t>
  </si>
  <si>
    <t>เริ่ม 22 พ.ค. 60 สิ้นสุด 21 ก.ค. 60</t>
  </si>
  <si>
    <t>บริษัท เอส เค เซอร์วิส โอ เอ จำกัด</t>
  </si>
  <si>
    <t>เริ่ม 19 พ.ค. 60 สิ้นสุด 18 มิ.ย. 60</t>
  </si>
  <si>
    <t>เริ่ม 18 พ.ค. 60 สิ้นสุด 17 มิ.ย. 60</t>
  </si>
  <si>
    <t>เริ่ม 17 พ.ค. 60 สิ้นสุด 17 พ.ย. 60</t>
  </si>
  <si>
    <t>บริษัท ที.ดี.ดี. ก่อสร้าง จำกัด</t>
  </si>
  <si>
    <t>4.4.2 โครงการเพิ่มประสิทธิภาพการจัดทำสถิติผลิตภัณฑ์มวลรวมจังหวัด (GPP) ประจำปีงบประมาณ พ.ศ. 2560</t>
  </si>
  <si>
    <t>อยู่ระหว่างดำเนินงาน</t>
  </si>
  <si>
    <t>อยู่ระหว่างดำเนินโครงการ</t>
  </si>
  <si>
    <t>ประจำปีงบประมาณ พ.ศ. 2560 งวดที่ 2 (1,500,000 บาท)</t>
  </si>
  <si>
    <t>1.1 โครงการวางท่อระบายน้ำพร้อมบ่อพักคอนกรีตเสริมเหล็ก หมู่ที่ 1 ตำบลศาลาแดง 
อำเภอเมืองอ่างทอง จังหวัดอ่างทอง</t>
  </si>
  <si>
    <t>1.3 โครงการปรับปรุง/ซ่อมแซม ระบบประปาหมู่บ้าน ขนาด 20 ลบ.ม.</t>
  </si>
  <si>
    <t>1.4 โครงการปรับปรุงซ่อมแซมหลังคาหอประชุมอำเภอสามโก้</t>
  </si>
  <si>
    <t xml:space="preserve"> - สำนักงานจังหวัดอ่างทอง
 - อำเภอเมืองอ่างทอง</t>
  </si>
  <si>
    <t>ทรัพย์ประดิษฐ์พัฒนา</t>
  </si>
  <si>
    <t xml:space="preserve">เริ่ม 24 พ.ค. 60
สิ้นสุด 24 มิ.ย. 60 </t>
  </si>
  <si>
    <t>เริ่ม 30 พ.ค. 60 สิ้นสุด 25 ธ.ค. 61</t>
  </si>
  <si>
    <t>เริ่ม 15 พ.ค. 60 สิ้นสุด 13 พ.ย. 60</t>
  </si>
  <si>
    <t>งบประมาณ 184,788,300 บาท (หนึ่งร้อยแปดสิบห้าล้านเก้าแสนเก้าหมื่นแปดพันสามร้อยบาท)</t>
  </si>
  <si>
    <t>เริ่ม 1 มิ.ย. 60 สิ้นสุด 30 ก.ค. 60</t>
  </si>
  <si>
    <t>บัญชีโครงการงบประมาณรายจ่ายประจำปีงบประมาณ พ.ศ. 2560 เพิ่มเติม</t>
  </si>
  <si>
    <t>1.1 รวบรวมผลการวิจัยและพัฒนาปัจจัยพื้นฐานการผลิตเกษตรสินค้าเกษตร</t>
  </si>
  <si>
    <t>1.1.1พัฒนาแหล่งน้ำเพื่อการเกษตร</t>
  </si>
  <si>
    <t>(4) จัดหาแหล่งน้ำพร้อมระบบกระจาย ช่วยเหลือพื้นที่การเกษตรในเขตตำบลรำมะสัก อำเภอโพธิ์ทอง</t>
  </si>
  <si>
    <t>(3) ก่อสร้างถนน คสล.หมู่ 3 บ้านดอนตูม ตำบลรำมะสัก เชื่อมต่อหมู่ 5 ตำบลยางช้าย อำเภอโพธิ์ทอง</t>
  </si>
  <si>
    <t>1.2 การเพิ่มผลผลิตพัฒนาคุณภาพและลดต้นทุน</t>
  </si>
  <si>
    <t>1.2.1 ส่งเสริมการผลิตสินค้าเกษตรปลอดภัย</t>
  </si>
  <si>
    <t>(1) ด้านพืช</t>
  </si>
  <si>
    <t>(2) ด้านประมง</t>
  </si>
  <si>
    <t>(3) ด้านปศุสัตว์</t>
  </si>
  <si>
    <t>1.3 การพัฒนาเกษตรกรและสถาบันเกษตรกร</t>
  </si>
  <si>
    <t>1.3.1 พัฒนาเกษตรกรและสถาบันเกษตรกรสู่การเป็นผู้ประกอบการ</t>
  </si>
  <si>
    <t>(1) ส่งเสริมการรวมกลุ่ม เพื่อวางแผนการผลิตรองรับความต้องการของตลาด และสร้างพลังการต่อรอง</t>
  </si>
  <si>
    <t>1.4.1 วิจัยการแปรรูปผลผลิตทางการเกษตร และพัฒนาบรรจุภัณฑ์</t>
  </si>
  <si>
    <t>(1) ส่งเสริมการใช้นวัตกรรมสร้างผลิตภัณฑ์จากกล้วย</t>
  </si>
  <si>
    <t xml:space="preserve"> - ค่าจ้างพนักงาน</t>
  </si>
  <si>
    <t xml:space="preserve"> - ค่าวัสดุฝึกอบรม</t>
  </si>
  <si>
    <t>1.4.2 พัฒนาปรับปรุงคุณภาพของพัฒนาบรรจุภัณฑ์ให้มีความเหมาะสม</t>
  </si>
  <si>
    <t xml:space="preserve">(1) พัฒนาบรรจุภัณฑ์ </t>
  </si>
  <si>
    <t>1.5 พัฒนาระบบตลาด</t>
  </si>
  <si>
    <t>(1) จัดมหกรรมครัวสุขภาพเพื่อมหานคร</t>
  </si>
  <si>
    <t xml:space="preserve">(2) การทำการตลาดเชิงรุก (Road show) </t>
  </si>
  <si>
    <t>(1) ส่งเสริมการบริโภคผลผลิตที่ผลิตได้ในจังหวัด/กลุ่มจังหวัด</t>
  </si>
  <si>
    <t>(2) ติดตามประเมินผลโครงการ</t>
  </si>
  <si>
    <t>1.6 การขนส่งสินค้าและจัดการบริหารสินค้า Logistic</t>
  </si>
  <si>
    <t>1.6.1 พัฒนาศูนย์รวบรวม และกระจายผลผลิต</t>
  </si>
  <si>
    <t xml:space="preserve">(1) พัฒนาระบบรวบรวมและการขนส่งผลผลิต </t>
  </si>
  <si>
    <t xml:space="preserve">(2) ปรับปรุงศูนย์รวบรวมผลผลิตและจัดหาอุปกรณ์ </t>
  </si>
  <si>
    <t>1.6.2 พัฒนาระบบฐานข้อมูลย้อนกลับเพื่อการตรวจสอบคุณภาพสินค้า</t>
  </si>
  <si>
    <t>(1) จัดทำฐานข้อมูลผู้ผลิต และจัดทำApplication การตรวจสอบข้อมูลย้อนกล้บของสินค้า</t>
  </si>
  <si>
    <t>(1) ก่อสร้างถนน คสล. พร้อมระบบระบายน้ำและปรับปรุงถนนโดยรอบศูนย์ฯ</t>
  </si>
  <si>
    <t>สำนักงานส่งเสริมการปกครองท้องถิ่นจังหวัดอ่างทอง</t>
  </si>
  <si>
    <t>(2) จัดซื้อรถบรรทุกขยะ ขนาด 6 ตัน 6 ล้อ แบบอัดท้าย 4 คัน</t>
  </si>
  <si>
    <t>(3) จัดซื้อรถขุดตีนตะขาบ ขนาด 200 แรงม้า 1 คัน</t>
  </si>
  <si>
    <t>(6) ปรับปรุงเขื่อนป้องกันตลิ่ง หมู่ 2 ตำบลไชโย อำเภอไชโย จังหวัดอ่างทอง</t>
  </si>
  <si>
    <t>(8) ปรับปรุงเขื่อนป้องกันตลิ่ง หมู่ 2 ตำบลหลักฟ้า อำเภอไชโย จังหวัดอ่างทอง</t>
  </si>
  <si>
    <t>(9) ปรับปรุงเขื่อนป้องกันตลิ่ง หมู่ 4 ตำบลย่านซื่อ อำเภอเมือง จังหวัดอ่างทอง</t>
  </si>
  <si>
    <t>2. โครงการท่องเที่ยวอารยธรรมวิถีไทยลุ่มแม่น้ำเจ้าพระยาป่าสัก</t>
  </si>
  <si>
    <t>2.1 พัฒนาฐานข้อมูลด้านการท่องเที่ยวกลุ่มจังหวัด</t>
  </si>
  <si>
    <t>2.1.1 พัฒนาฐานข้อมูล</t>
  </si>
  <si>
    <t>2.2 ศึกษาวิจัยพฤติกรรมนักท่องเที่ยวในกลุ่มจังหวัด</t>
  </si>
  <si>
    <t>2.3 จัดหาระบบรักษาความปลอดภัยในแหล่งท่องเที่ยวและเส้นทางท่องเที่ยว</t>
  </si>
  <si>
    <t>(1) จัดตั้งศูนย์ควบคุมความปลอดภัยและบริการนักท่องเที่ยว</t>
  </si>
  <si>
    <t>2.4 จัดตั้งศูนย์ประสานงานช่วยเหลือนักท่องเที่ยว</t>
  </si>
  <si>
    <t>2.5 พัฒนาศักยภาพบุคลากรด้านการท่องเที่ยว</t>
  </si>
  <si>
    <t>2.6 อำนวยความสะดวกและดูแลความปลอดภัยแก่นักท่องเที่ยวและสถานที่ท่องเที่ยว (Amazing Thai Host)</t>
  </si>
  <si>
    <t>2.7 จัดทำป้ายบอกทางและสื่อความหมายในแหล่งท่องเที่ยว</t>
  </si>
  <si>
    <t>2.7.1 ป้ายบอกทางและสื่อความหมายในแหล่งท่องเที่ยว</t>
  </si>
  <si>
    <t>(1) ติดตั้งป้ายแนะนำแหล่งท่องเที่ยว สาย อท.4002 (วัดไชโยวรวิหาร) 1 แห่ง</t>
  </si>
  <si>
    <t xml:space="preserve">(2) ติดตั้งป้ายแนะนำแหล่งท่องเที่ยว สาย อท.3003 (วัดขุนอินทประมูล) 1 แห่ง </t>
  </si>
  <si>
    <t xml:space="preserve">(3) ติดตั้งป้ายแนะนำแหล่งท่องเที่ยว สาย อท.2040 (วัดจันทรังษี) 1 แห่ง </t>
  </si>
  <si>
    <t>(4) ติดตั้งป้ายแนะนำแหล่งท่องเที่ยว ทางหลวงหมายเลข 3195 (วัดม่วง) 1 แห่ง</t>
  </si>
  <si>
    <t>(5) ติดตั้งป้ายแนะนำแหล่งท่องเที่ยว ทางหลวงหมายเลข 3501  (วัดป่าโมกวรวิหาร) 1 แห่ง</t>
  </si>
  <si>
    <t>(6) ติดตั้งป้ายแนะนำแหล่งท่องเที่ยว ทางหลวงหมายเลข 32  
(โครงการฟาร์มตัวอย่างตามพระราชดำริหนองระหารจีน) 1 แห่ง</t>
  </si>
  <si>
    <t xml:space="preserve">(7) ติดตั้งป้ายแนะนำแหล่งท่องเที่ยว สาย อท. 2040 
(โครงการฟาร์มตัวอย่างตามพระราชดำริหนองระหารจีน) 1 แห่ง </t>
  </si>
  <si>
    <t>(8) ติดตั้งป้ายแนะนำแหล่งท่องเที่ยว ทางหลวงหมายเลข 3064  
(โครงการฟาร์มตัวอย่างตามพระราชดำริสีบัวทอง) 1 แห่ง</t>
  </si>
  <si>
    <t>2.8 ปรับปรุงเส้นทางหรือขยายช่องทางจราจรสู่แหล่งท่องเที่ยว</t>
  </si>
  <si>
    <t xml:space="preserve">(2) ก่อสร้างถนน คสล. หมู่ 7,8,9 ตำบลรำมะสัก อำเภอโพธิ์ทอง เชื่อมต่อ ตำบลวังน้ำเย็น อำเภอแสวงหา </t>
  </si>
  <si>
    <t xml:space="preserve">   - ติดตั้งไฟฟ้าแสงสว่างเพื่อความปลอดภัยสาย อท.2040 แยก ทล.32-บ.โพสะ</t>
  </si>
  <si>
    <t>2.9 จัดกิจกรรมสร้างแรงดึงดูดนักท่องเที่ยว</t>
  </si>
  <si>
    <t>(1) จัดกิจกรรมสร้างแรงดึงดูดนักท่องเที่ยว</t>
  </si>
  <si>
    <t xml:space="preserve"> - จัดงานอ่างทอง 5 ที่สุด สิ่งศักดิ์สิทธิ์</t>
  </si>
  <si>
    <t>2.10 พัฒนาแหล่งท่องเที่ยวที่สำคัญใน 4 จังหวัด</t>
  </si>
  <si>
    <t>(2) พัฒนาแหล่งท่องเที่ยวที่สำคัญในจังหวัดอ่างทอง</t>
  </si>
  <si>
    <t xml:space="preserve">(3)  ติดตั้งไฟฟ้าแสงสว่างเพื่อความปลอดภัยสาย อท.3003 แยก ทล.309-บ.บางพลับ    </t>
  </si>
  <si>
    <t>(4) ติดตั้งไฟฟ้าแสงสว่างเพื่อความปลอดภัยสาย อท.4002 แยก ทล.3064 บ.มหานาม</t>
  </si>
  <si>
    <t>2.11 พัฒนาผลิตภัณฑ์ชุมชนเพื่อการท่องเที่ยวและเพิ่มช่องทางการตลาด</t>
  </si>
  <si>
    <t>2.11.1 พัฒนามาตรฐานสินค้าของฝากและของที่ระลึก</t>
  </si>
  <si>
    <t>2.12 ประชาสัมพันธ์และการตลาดส่งเสริมด้านการท่องเที่ยว</t>
  </si>
  <si>
    <t>2.12.1 ประชาสัมพันธ์สร้างภาพลักษณ์</t>
  </si>
  <si>
    <t>(1) จัดทำสื่อประชาสัมพันธ์ส่งเสริมการท่องเที่ยว</t>
  </si>
  <si>
    <t>(2) จัดทำสื่อประชาสัมพันธ์กิจกรรมท่องเที่ยว (ป้ายbillboard+เอกสารประชาสัมพันธ์)</t>
  </si>
  <si>
    <t>2.13 แก้ไขปัญหาความเดือดร้อนเร่งด่วนและความต้องการในพื้นที่ด้านการท่องเที่ยว</t>
  </si>
  <si>
    <t>สัญญา 
เริ่มต้น-สิ้นสุด</t>
  </si>
  <si>
    <t xml:space="preserve"> - เครื่องสูบน้ำเบนซินขนาดไม่ต่ำกว่า 6.5 แรงม้า ท่อขนาด 
6 นิ้ว ยาว 4 เมตร</t>
  </si>
  <si>
    <t xml:space="preserve"> -  เครื่องสูบน้ำดีเซลขนาดไม่ต่ำกว่า 11 แรงม้า ท่อแสตนเลส 
ขนาด 8 นิ้ว ยาว 6 เมตร พร้อมอุปกรณ์ลากจูง</t>
  </si>
  <si>
    <t xml:space="preserve"> - เครื่องพ่นยาแรงดันสูงขนาดไม่ต่ำกว่า 6.5 แรงม้าพร้อมสายยาว 
150 เมตร</t>
  </si>
  <si>
    <t>(1) 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</t>
  </si>
  <si>
    <t>(2) จัดหาแหล่งน้ำพร้อมระบบกระจาย ช่วยเหลือพื้นที่การเกษตรในเขต ตำบลราชสถิตย์,ตำบลเทวราช อำเภอไชโย</t>
  </si>
  <si>
    <t>(3) จัดหาแหล่งน้ำพร้อมระบบกระจาย ช่วยเหลือพื้นที่การเกษตรในเขตตำบลสายทอง,ตำบลบางเสด็จ อำเภอป่าโมก</t>
  </si>
  <si>
    <t>(6) จัดหาแหล่งน้ำพร้อมระบบกระจาย ช่วยเหลือพื้นที่การเกษตรในเขตตำบลอบทม, ตำบลโพธิ์ม่วงพันธ์ อำเภอสามโก้</t>
  </si>
  <si>
    <t xml:space="preserve"> - ประชาสัมพันธ์ Story ส่งเสริมการท่องเที่ยวเชิงรุกกลุ่มจังหวัดภาคกลางตอนบน 2 (จังหวัดอ่างทองเป็นเจ้าภาพกลุ่มจังหวัด)</t>
  </si>
  <si>
    <t>(5) ก่อสร้างถนน คสล. หมู่ 6 ตำบลอบทม อำเภอสามโก้ เชื่อมต่อหมู่ 3 ตำบลสาวร้องไห้ อำเภอวิเศษชัยชาญ (ยอดจริง 6,069,000 บาท)</t>
  </si>
  <si>
    <t>ปวงประชาเป็นสุข ด้วยพระบารมี ตามหลักปรัชญาเศรษฐกิจพอเพียง ประจำปีงบประมาณ พ.ศ. 2560</t>
  </si>
  <si>
    <t>โครงการปวงประชาเป็นสุข ด้วยพระบารมี ตามหลักปรัชญาเศรษฐกิจพอเพียง ประจำปีงบประมาณ พ.ศ. 2560(อาหารกลางวัน)</t>
  </si>
  <si>
    <t>สถานีพัฒนาที่ดิน</t>
  </si>
  <si>
    <t xml:space="preserve">(11) ปรับปรุงหนองระหานใหญ่ พร้อมอาคารประกอบ 
ตำบลไชยภูมิ อำเภอไชโย </t>
  </si>
  <si>
    <t>(4) ก่อสร้างถนน คสล.หมู่ 3 บ้านบึง ตำบลรำมะสัก เชื่อมต่อหมู่ 7 บ้านแจงแขวนหม้อ ตำบลม่วงคัน อำเภอโพธิ์ทอง</t>
  </si>
  <si>
    <t>(7) ปรับปรุงเขื่อนป้องกันตลิ่ง หมู่ 4 ตำบลราชสถิตย์ อำเภอไชโย จังหวัดอ่างทอง</t>
  </si>
  <si>
    <t xml:space="preserve"> - ปรับปรุงภูมิทัศน์บริเวณวัดขุนอินทประมูล ตำบลอินทประมูล อำเภอโพธิ์ทอง</t>
  </si>
  <si>
    <t>1.6 โครงการปรับปรุงระบบประปาหมู่บ้าน บ้านปะขาว หมู่ที่ 3 ตำบลบางเสด็จ 
อำเภอป่าโมก จังหวัดอ่างทอง</t>
  </si>
  <si>
    <t>หจก.พีเคที เทคโนโลยี</t>
  </si>
  <si>
    <t xml:space="preserve">เริ่ม 23 มิ.ย. 60
สิ้นสุด 4 ก.ค. 60 </t>
  </si>
  <si>
    <t>บัญชีแผนการใช้จ่ายงบบริหารจัดการงบประมาณรายจ่ายเพิ่มเติม ประจำปีงบประมาณ พ.ศ. 2560 งบกลาง
รายการค่าใช้จ่ายส่งเสริมละสร้างความเข้มแข็งเศรษฐกิจภายในประเทศ (เพิ่มเติม)</t>
  </si>
  <si>
    <t>การจัดประชุมติดตามเร่งรัดการดำเนินโครงการและการเบิกจ่ายงบประมาณ</t>
  </si>
  <si>
    <t>1.2 ประชุมหารือ ข้อราชการและติดตามงานนโยบายของรัฐบาลของผู้บริหารจังหวัดอ่างทอง</t>
  </si>
  <si>
    <t>1.3 การจัดประชุมคณะกรรมการบริหารงานจังหวัดแบบบูรณาการ (ก.บ.จ.) จังหวัดอ่างทอง</t>
  </si>
  <si>
    <t>การจัดจ้างบุคคลากรเพื่อสนับสนุนการบริหารจัดการตามยุทธศาสตร์การพัฒนาจังหวัดอ่างทอง จำนวน 2 คน</t>
  </si>
  <si>
    <t>ค่าจัดทำเอกสารประกอบการประชุม</t>
  </si>
  <si>
    <t>3.1 ค่าจ้างเหมาทำเอกสาร</t>
  </si>
  <si>
    <t>3.2 ค่าวัสดุ</t>
  </si>
  <si>
    <t>ค่าเผยแพร่ประชาสัมพันธ์เพื่อให้เกิดความรู้ความเข้าใจแก่ภาคส่วนต่างๆ</t>
  </si>
  <si>
    <t>การเพิ่มประสิทธิภาพ การบริหารจัดการ การติดตามผลการดำเนินโครงการ</t>
  </si>
  <si>
    <r>
      <t xml:space="preserve"> 1.1 </t>
    </r>
    <r>
      <rPr>
        <sz val="16"/>
        <color theme="1"/>
        <rFont val="TH SarabunPSK"/>
        <family val="2"/>
      </rPr>
      <t>ประชุมคณะทำงานขับเคลื่อนและติดตามโครงการตามแนวทางการสร้างความเข้มแข็งและยั่งยืนให้กับเศรษฐกิจภายในประเทศ</t>
    </r>
    <r>
      <rPr>
        <sz val="16"/>
        <color rgb="FF000000"/>
        <rFont val="TH SarabunPSK"/>
        <family val="2"/>
      </rPr>
      <t xml:space="preserve"> (จังหวัดอ่างทอง)</t>
    </r>
  </si>
  <si>
    <r>
      <t>2.1 วุฒิปริญญาตรี ช่วยงาน</t>
    </r>
    <r>
      <rPr>
        <sz val="16"/>
        <color theme="1"/>
        <rFont val="TH SarabunPSK"/>
        <family val="2"/>
      </rPr>
      <t>บันทึกข้อมูลในระบบติดตามประเมินผลแผนงาน โครงการ ตามแผนปฏิบัติราชการประจำปีของจังหวัดและกลุ่มจังหวัด (PADME) และปฏิบัติงานอื่นๆ 1 คน 4 เดือน ๆ ละ 13,000 บาท</t>
    </r>
  </si>
  <si>
    <r>
      <t>ค่าใช้จ่ายในการเดินทางไปราชการ</t>
    </r>
    <r>
      <rPr>
        <b/>
        <sz val="16"/>
        <color rgb="FF000000"/>
        <rFont val="TH SarabunPSK"/>
        <family val="2"/>
      </rPr>
      <t xml:space="preserve"> และอื่นๆ</t>
    </r>
  </si>
  <si>
    <r>
      <t>2.2 วุฒิปริญญาตรีช่วยงาน</t>
    </r>
    <r>
      <rPr>
        <sz val="16"/>
        <color theme="1"/>
        <rFont val="TH SarabunPSK"/>
        <family val="2"/>
      </rPr>
      <t>การเงินและบัญชี และปฏิบัติงานอื่นๆ</t>
    </r>
    <r>
      <rPr>
        <sz val="16"/>
        <color rgb="FF0000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1 คน 4 เดือน ๆ ละ 13,000 บาท</t>
    </r>
  </si>
  <si>
    <t>1.3.2 การขยายเทคโนโลยีกระบวนการผลิตและแปรรูปผลิตภัณฑ์สู่ชุมชน</t>
  </si>
  <si>
    <t>1.3.2.1 ส่งเสริมการนำเทคโนโลยีมาพัฒนาผลิตภัณฑ์</t>
  </si>
  <si>
    <t>ลงนามสัญญาจ้าง</t>
  </si>
  <si>
    <t>ลงนาม
สัญญาจ้าง</t>
  </si>
  <si>
    <t>อยู่ระหว่างดำเนินการ</t>
  </si>
  <si>
    <t>อยู่ระหว่างลงร่างประกาศประกวดราคา</t>
  </si>
  <si>
    <t>ได้ตัวผู้รับจ้างแล้วรอลงนาม</t>
  </si>
  <si>
    <t>อยู่ระหว่างประกาศประกวดราคา</t>
  </si>
  <si>
    <t>ข้อมูล ณ วันที่ 3 กรกฎาคม 2560</t>
  </si>
  <si>
    <t>บ.ธนพูนทวี จำกัด</t>
  </si>
  <si>
    <t>เริ่ม 17 พ.ค. 60 สิ้นสุด21 ส.ค.60</t>
  </si>
  <si>
    <t>บ.มานะรุ่งเรืองทรัพย์</t>
  </si>
  <si>
    <t>เริ่ม 2 มิ.ย. 60 สิ้นสุด5 ก.ย. 60</t>
  </si>
  <si>
    <t>เริ่ม 15 มิ.ย. 60 สิ้นสุด 14 ต.ค. 60</t>
  </si>
  <si>
    <t>เริ่ม 15 พ.ค. 60 สิ้นสุด 13 ส.ค. 60</t>
  </si>
  <si>
    <t>เริ่ม 9 มิ.ย. 60 สิ้นสุด 6 ธ.ค. 60</t>
  </si>
  <si>
    <t>หจก.บุญรุ่งเรือง 99</t>
  </si>
  <si>
    <t>หจก.ป. รุ่งทรัพย์</t>
  </si>
  <si>
    <t>เริ่ม 5 มิ.ย. 60 สิ้นสุด 25 ก.ค. 60</t>
  </si>
  <si>
    <t xml:space="preserve">จังหวัดอ่างทอง </t>
  </si>
  <si>
    <t>1. โครงการสร้างมูลค่าเพิ่มมาตรฐานอาหารปลอดภัยเพื่อสุขภาพโดยเป็น "ครัวสุขภาพเพื่อมหานคร"</t>
  </si>
  <si>
    <t xml:space="preserve">(12) ปรับปรุงบึงลาดจินจาน พร้อมอาคารประกอบ 
ตำบลไผ่ดำพัฒนา อำเภอวิเศษชัยชาญ </t>
  </si>
  <si>
    <t>(13) ขุดลอกบึงเบิกไพร หมู่ที่ 6 ตำบลไผ่ดำพัฒนา 
อำเภอวิเศษชัยชาญ</t>
  </si>
  <si>
    <t>(14) ขุดลอกบึงอ้ายรัง หมู่ที่ 8 ตำบลไผ่ดำพัฒนา 
อำเภอวิเศษชัยชาญ</t>
  </si>
  <si>
    <t>(8) แก้มลิงสีบัวทอง พร้อมอาคารประกอบ ตำบลสีบัวทอง 
อำเภอแสวงหา จังหวัดอ่างทอง</t>
  </si>
  <si>
    <t xml:space="preserve">(10) ปรับปรุงหนองลาดใหญ่ พร้อมอาคารประกอบ ตำบลชัยฤทธิ์ อำเภอไชโย </t>
  </si>
  <si>
    <t xml:space="preserve">(9) ปรับปรุงหนองหัวแตก พร้อมอาคารประกอบ ตำบลหนองแม่ไก่ อำเภอโพธิ์ทอง </t>
  </si>
  <si>
    <t>(1) พัฒนาผลิตภัณฑ์ชุมชนเพื่อการท่องเที่ยวและเพิ่มช่องทางการตลาด</t>
  </si>
  <si>
    <t>(12) ปรับปรุงอาคารพลับพลาที่ประทับบริเวณอนุสาวรีย์
นายดอก นายทองแก้ว หมู่ที่ 2 ตำบลไผ่จำศีล 
อำเภอวิเศษชัยชาญ</t>
  </si>
  <si>
    <t>(10) พัฒนาโครงการฟาร์มตัวอย่างตามพระราชดำริในสมเด็จพระนางเจ้าสิริกิติ์ พระบรมราชินีนาถ ตำบลสีบัวทอง 
อำเภอแสวงหา จังหวัดอ่างทอง</t>
  </si>
  <si>
    <t>(9) 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อำเภอเมือง 
จังหวัดอ่างทอง</t>
  </si>
  <si>
    <t>(8) ปรับปรุงภูมิทัศน์และสิ่งอำนวยความสะดวกโครงการ
แก้มลิงหนองเจ็ดเส้น อำเภอป่าโมก จังหวัดอ่างทอง</t>
  </si>
  <si>
    <t>(7) ปรับปรุงภูมิทัศน์และสิ่งอำนวยความสะดวก บริเวณ
วัดป่าโมกวรวิหาร  อำเภอป่าโมก จังหวัดอ่างทอง</t>
  </si>
  <si>
    <t>(1) ออกแบบจัดสร้างร้านจำหน่ายสินค้าตลาดย้อนยุค 
 แบบโมบาย จำนวน 20 ร้าน</t>
  </si>
  <si>
    <t>(12) ปรับปรุงภูมิทัศน์และสิ่งอำนวยความสะดวก 
วัดไชโยวรวิหาร อำเภอไชโย จังหวัดอ่างทอง</t>
  </si>
  <si>
    <t xml:space="preserve">    - ปรับปรุงเส้นทาง สร้างเกาะกลางถนนแบบยกเกาะ 
สาย 3195  ตอนแยกวิเศษชัยชาญ - แยกป่างิ้ว อำเภอเมือง 
จังหวัดอ่างทอง  </t>
  </si>
  <si>
    <t>(9) ก่อสร้างถนน คสล. เชื่อมต่อระหว่างหมู่ 3 
ตำบลโคกพุทรา-หมู่ 5 ตำบลบางเจ้าฉ่า อำเภอโพธิ์ทอง</t>
  </si>
  <si>
    <t xml:space="preserve">(8) ก่อสร้างถนน คสล.หมู่ที่ 2,5 ตำบลไผ่วง 
อำเภอวิเศษชัยชาญ </t>
  </si>
  <si>
    <t>(3)ก่อสร้างถนนลาดยางสายเชื่อมต่อระหว่างหนองคันไชย 
หมู่ 3  ตำบลโคกพุทรา-หมู่ 3 ตำบลหนองแม่ไก่ อำเภอโพธิ์ทอง</t>
  </si>
  <si>
    <t xml:space="preserve">(4) ก่อสร้างถนน คสล.หมู่ 7 ตำบลมงคลธรรมนิมิต 
อำเภอสามโก้ เชื่อมต่อหมู่ 7 ตำบลรำมะสัก อำเภอโพธิ์ทอง </t>
  </si>
  <si>
    <t>(1) ศึกษาแหล่งท่องเที่ยวเพื่อจัดทำ Story ส่งเสริมการท่องเที่ยวเชิงรุกกลุ่มจังหวัดภาคกลางตอนบน 2 
(จังหวัดอ่างทองเป็นเจ้าภาพกลุ่มจังหวัด)</t>
  </si>
  <si>
    <t>(12) ปรับปรุงขยายท่อเมนประปาหมู่บ้านหมู่ที่ 6 
ตำบลวังน้ำเย็น อำเภอแสวงหา</t>
  </si>
  <si>
    <t>(10) ปรับปรุงซ่อมแซมถนนภายในหมู่บ้าน หมู่ 2,3 
ตำบลวังน้ำเย็น อำเภอแสวงหา</t>
  </si>
  <si>
    <t>(4) ปรับปรุงคันกั้นน้ำ หมู่ 3 และ หมู่ 4 ตำบลโผงเผง 
อำเภอป่าโมก จังหวัดอ่างทอง</t>
  </si>
  <si>
    <t>(5) ปรับปรุงคันกั้นน้ำ หมู่ 5 และ หมู่ 6 ตำบลโผงเผง 
อำเภอป่าโมก จังหวัดอ่างทอง</t>
  </si>
  <si>
    <t>หจก.บางจัก
การโยธา</t>
  </si>
  <si>
    <t xml:space="preserve"> - ชั้นวางแสตนเลส 2 ชั้น ขนาด 100*200*70 ซม. 
พื้นชั้นบนเป็นซี่แสตนเลส ชั้นล่างเป็นถาดแสตนเลสพร้อมสะดือระบายน้ำ</t>
  </si>
  <si>
    <t>1.5.2 ส่งเสริมการบริโภคตลาดภายในกลุ่มจังหวัด</t>
  </si>
  <si>
    <t xml:space="preserve">1.5.1 พัฒนาศักยภาพและเพิ่มขีดความสามารถการตลาด
เชิงรุก </t>
  </si>
  <si>
    <t>(5) จัดหาแหล่งน้ำพร้อมระบบกระจาย ช่วยเหลือพื้นที่การเกษตรในเขต ตำบลวังน้ำเย็น อำเภอแสวงหา</t>
  </si>
  <si>
    <t>(7) จัดหาแหล่งน้ำพร้อมระบบกระจาย ช่วยเหลือพื้นที่การเกษตรในเขต ตำบลสาวร้องไห้ อำเภอวิเศษชัยชาญ</t>
  </si>
  <si>
    <t>บริษัท พาวเวอร์พลัส(ประเทศไทย) จำกัด</t>
  </si>
  <si>
    <t>เริ่ม 21 ส.ค. 60 สิ้นสุด 22 มิ.ย. 60</t>
  </si>
  <si>
    <t>งบประมาณ 8,000,000 บาท (แปดล้านบาทถ้วน)</t>
  </si>
  <si>
    <t xml:space="preserve"> - เครื่องบรรจุภัณฑ์สูญญากาศแบบมาตรฐาน ขนาด 1450*750*1000 mm รองรับขนาดถุงแวคคั่มไม่เกิน 60 cm ใช้ไฟ 380 
(3 เฟส) ห้องดูดสูญญากาศ 670*540*50 mm 1.0000 เครื่อง</t>
  </si>
  <si>
    <t xml:space="preserve"> - เครื่องผสมอาหาร ระบบไฟฟ้า 1100 วัตต์ อัตโนมัติ ขนาด 
20 ลิตร</t>
  </si>
  <si>
    <t>(5) สร้างศาลาคลุมทางเดินริมเขื่อนบริเวณวัดไชโยวรวิหาร 
อำเภอไชโย</t>
  </si>
  <si>
    <t>(6) ก่อสร้างปรับปรุงซ่อมแซมผิวจราจรถนนปู่ดอก-ปู่ทองแก้ว ตั้งแต่ถนนโพธิ์พระยา-ท่าเรือ ถึงถนนปู่ดอก-ปู่ทองแก้ว 21 
ตำบลไผ่จำศีล อำเภอวิเศษชัยชาญ</t>
  </si>
  <si>
    <t>(11) ก่อสร้างถนนคอนกรีตเสริมเหล็กภายในหมู่บ้าน หมู่ 5 
ตำบลวังน้ำเย็น อำเภอแสวงหา</t>
  </si>
  <si>
    <t>เริ่ม 31 พ.ค. 60 สิ้นสุด 29 ส.ค. 60</t>
  </si>
  <si>
    <t>บริษัทมันตรากรุ๊ป จำกัด</t>
  </si>
  <si>
    <t>เริ่ม 30 มิ.ย. 60 สิ้นสุด 31 ส..ค. 60</t>
  </si>
  <si>
    <t xml:space="preserve">7.1.2  รถขุดดินตีนตะขาบ 1 คัน </t>
  </si>
  <si>
    <t>(2) ก่อสร้างถนนลาดยางคันคลองระบายใหญ่แม่น้ำน้อย 4 ฝั่งขวา 
(บ้านงิ้วราย-วัดคู) เขตพื้นที่ ตำบลยางช้าย อำเภอโพธิ์ทอง เชื่อมต่อ ตำบลม่วงเตี้ย อำเภอวิเศษชัยชาญ</t>
  </si>
  <si>
    <t>1.4 การแปรรูป การเพิ่มและสร้างคุณค่าผลิตภัณฑ์สินค้าเกษตรปลอดภัย</t>
  </si>
  <si>
    <t xml:space="preserve"> -  รถเข็นแสตนเลส ชั้นเดียว แฮนด์พับได้ 92*62*92 ซม. 
มีล้อขนาด 6 นิ้ว รับน้ำหนักได้ 350 กก.</t>
  </si>
  <si>
    <t xml:space="preserve"> - เครื่องชั่งดิจิตอลแบบตั้งพื้น พิกัดน้ำหนัดชั่งน้ำหนักได้สูงสุด 
300 กิโลกรัม ความละเอียดเครื่องชั่ง 40 กรัม</t>
  </si>
  <si>
    <t xml:space="preserve"> - เครื่องกรองน้ำระบบ R.O 5 ขั้นตอน อัตรากรอง 
300 แกลลอน/วัน</t>
  </si>
  <si>
    <t xml:space="preserve"> -  ชั้นวางแสตนเลส 3 ชั้น พื้นชั้นเป็นแสตนเลส แผ่นแสตนเลส
หนา 1.2 มิลลิลิตร ขนาด 60*200*170 เซนติเมตร</t>
  </si>
  <si>
    <t xml:space="preserve"> -  เครื่องชั่งดิจิตอลแบบตั้งโต๊ะ พิกัดน้ำหนักชั่งน้ำหนักได้สูงสุด 
1 กิโลกรัม ความละเอียดเครื่องชั่ง 0.2 กรัม</t>
  </si>
  <si>
    <t>1.7 ดำเนินกิจกรรมด้านการเกษตรและที่เกี่ยวข้อง ตามความต้องการและเพื่อแก้ไขปัญหาความเดือดร้อนของประชาชน
ในพื้นที่</t>
  </si>
  <si>
    <t>(1) ปรับปรุงภูมิทัศน์เกาะกลางถนนสาย ทล.334 จากแยก
ต่างระดับสายเอเชีย-สี่แยกบ้านรอ</t>
  </si>
  <si>
    <t>(7) ก่อสร้างถนนคสล. หมู่ที่ 2  ตำบลสาวร้องไห้ 
อำเภอวิเศษชัยชาญ ช่วงที่ 1 จากถนนลาดยางสายสาวร้องไห้-
ไผ่วง ถึงหมู่บ้านตาลหัก ช่วงที่ 2 จากหลังโบสถ์วัดสิทฯ ถึง 
อบต.สาวร้องไห้  (หลังเก่า)</t>
  </si>
  <si>
    <t>3.7.1 ก่อสร้างห้องน้ำสาธารณะ บริเวณอนุสาวรีย์ปู่ดอก ปู่แก้ว ตำบลไผ่จำศีล อำเภอวิเศษชัยชาญ</t>
  </si>
  <si>
    <t>3.7.2 ปรับปรุงอาคารพลับพลาที่ประทับบริเวณอนุสาวรีย์นายดอก นายทองแก้ว หมู่ที่ 2 ตำบลไผ่จำศีล อำเภอวิเศษชัยชาญ</t>
  </si>
  <si>
    <t>(10) ปรับปรุงภูมิทัศน์ สิ่งอำนวยความสะดวก บริเวณวัดจันทรังษี อำเภอเมือง จังหวัดอ่างทอง</t>
  </si>
  <si>
    <t>(11) ปรับปรุงภูมิทัศน์และสิ่งอำนวยความสะดวก บริเวณวัดม่วง อำเภอวิเศษชัยชาญ จังหวัดอ่างทอง</t>
  </si>
  <si>
    <t xml:space="preserve">    - ปรับปรุงขยายผิวจราจรแอสฟัลก์ติกคอนกรีตทางหลวงชนบท อท.2034 แยก ทล.32-บ.มหานาม (ตอนที่ 4)</t>
  </si>
  <si>
    <t>(11) ก่อสร้างห้องน้ำสาธารณะ บริเวณอนุสาวรีย์ปู่ดอก ปู่แก้ว ตำบลไผ่จำศีล อำเภอวิเศษชัยชาญ</t>
  </si>
  <si>
    <t xml:space="preserve">เริ่ม 6 มิ.ย.. 60
สิ้นสุด 20 ก.ค. 60 </t>
  </si>
  <si>
    <t>น.ส.นันทวรรณ 
ทับทอง</t>
  </si>
  <si>
    <t>หจก.สระบุรีบาดาล</t>
  </si>
  <si>
    <t xml:space="preserve">เริ่ม 15 มิ.ย.. 60
สิ้นสุด 14 ก.ค. 60 </t>
  </si>
  <si>
    <t>(2)  ติดตั้งกล้อง CCTV จำนวน 16 แห่ง</t>
  </si>
  <si>
    <t>เงินเหลือจากการโอนจริง</t>
  </si>
  <si>
    <t xml:space="preserve">เริ่ม 14 มิ.ย.. 60
สิ้นสุด 28 ก.ค. 60 </t>
  </si>
  <si>
    <t>ช.ชยาภรณ์</t>
  </si>
  <si>
    <t xml:space="preserve">เริ่ม 16 มิ.ย.. 60
สิ้นสุด 15 ก.ค. 60 </t>
  </si>
  <si>
    <t>นางสาวทิพย์สุคนธ์
พยัคเรือง</t>
  </si>
  <si>
    <t>เริ่ม 15 พ.ค. 60 สิ้นสุด 12 ก..ย. 60</t>
  </si>
  <si>
    <t>เริ่ม 24 มิ.ย. 60 สิ้นสุด 22 ก.ย. 60</t>
  </si>
  <si>
    <t xml:space="preserve">บริษัท ติณติณ 
เทรดดิ้ง แอนด์ เซอร์วิส จำกัด </t>
  </si>
  <si>
    <t xml:space="preserve"> - ค่าเครื่องจักร พร้อมอุปกรณ์ กำลังการผลิต 3.3 กิโลกรัม/ชั่วโมง</t>
  </si>
  <si>
    <t>เริ่ม 4 พ.ค. 60สิ้นสุด 2 ส.ค. 60</t>
  </si>
  <si>
    <t>หจก.นาคราชการโยธิ</t>
  </si>
  <si>
    <t>เริ่ม 22 ก.ค. 60 สิ้นสุด 18 มี.ค. 61</t>
  </si>
  <si>
    <t>ก่อสร้างถนนคอนกรีตเสริมเหล็ก หมู่ที่ 1 ตำบลโพสะ 
อำเภอเมืองอ่างทอง เชื่อมต่อหมู่ 7 ตำบลสายทอง อำเภอป่าโมก 
จังหวัดอ่างทอง</t>
  </si>
  <si>
    <t>บริษัท พี แอนด์ พี อิเลคทรอนิกส์ เทคโนโลยี จำกัด</t>
  </si>
  <si>
    <t>บริษัท ทองสยาม คอนสตรัคชั่น แอนด์ ซัพพลาย จำกัด</t>
  </si>
  <si>
    <t>1.5 โครงการปรับปรุงซ่อมแซมถนนลูกรังภายในหมู่บ้าน หมู่ที่ 4 ตำบลสีบัวทอง 
อำเภอแสวงหา จังหวัดอ่างทอง</t>
  </si>
  <si>
    <t>1.2 โครงการปรับปรุงประปาหมู่บ้าน หมู่ที่ 2  ตำบลไผ่วง อำเภอวิเศษชัยชาญ 
จังหวัดอ่างทอง</t>
  </si>
  <si>
    <t>วงเงิน</t>
  </si>
  <si>
    <t>ยอดเบิกจ่าย(บาท)</t>
  </si>
  <si>
    <t>คิดเป็นร้อยละของวงเงิน</t>
  </si>
  <si>
    <t>ยังไม่เบิกจ่าย</t>
  </si>
  <si>
    <t>ผลผลิต งปม.(1-5)</t>
  </si>
  <si>
    <t>ผลการดำเนินงาน(1-5)</t>
  </si>
  <si>
    <t>กรณีโครงการที่ดำเนินการแล้วเสร็จให้ระบุเงินเหลือจ่าย(ถ้ามี)</t>
  </si>
  <si>
    <t>โครงการตามงบประมาณรายจ่ายประจำปีงบประมาณ พ.ศ. 2560 ของจังหวัดอ่างทอง</t>
  </si>
  <si>
    <t>จำนวน 9 โครงการ เป็นเงินงบประมาณ 185,998,300 บาท มีผลการดำเนินงานดังนี้</t>
  </si>
  <si>
    <t>ความก้าวหน้าในการดำเนินโครงการ และการเบิกจ่ายงบประมาณปีงบประมาณ พ.ศ. 2560</t>
  </si>
  <si>
    <t>ของจังหวัดอ่างทอง (ข้อมูล ณ วันที่ 30 กันยายน 2560)</t>
  </si>
  <si>
    <t>ประเด็นยุทธศาสตร์</t>
  </si>
  <si>
    <t>1. โครงการพัฒนาโครงสร้างพื้นฐานของประชาชน</t>
  </si>
  <si>
    <t>1. โครงการส่งเสริมการผลิตอาหารปลอดภัย</t>
  </si>
  <si>
    <t>1. การยกระดับผลิตภัณฑ์ตามมาตรฐานการส่งออก</t>
  </si>
  <si>
    <t>1. ส่งเสริมการท่องเที่ยวเชิงวัฒนธรรม ถิ่นวีรชน และการเกษตร</t>
  </si>
  <si>
    <t>ประเด็นยุทธศาสตร์ที่ 2 : พัฒนาศักยภาพ การผลิต บริโภค 
และจำหน่ายอาหารปลอดภัย</t>
  </si>
  <si>
    <t>5 โครงการส่งเสริมการบริหารการจัดการที่ดีแบบบูรณาการ
และป้องกันและปราบปรามการทุจริต</t>
  </si>
  <si>
    <t>3 โครงการเสริมสร้างความมั่นคงและความปลอดภัยในชีวิต
และทรัพย์สิน</t>
  </si>
  <si>
    <t>ประเด็นยุทธศาสตร์ที่ 4 : ส่งเสริมการท่องเที่ยวเชิงวัฒนธรรม 
ถิ่นวีรชน และการเกษตร</t>
  </si>
  <si>
    <t>8. ส่งเสริมและพัฒนาพื้นที่แก้มลิงหนองเจ็ดเส้น อันเนื่องมาจากพระราชดำริตำบลหัวไผ่ อำเภอเมืองอ่างทอง ตำบลสายทอง           อำเภอป่าโมก จังหวัดอ่างทอง</t>
  </si>
  <si>
    <t>9. ส่งเสริมและพัฒนาพื้นที่แก้มลิงหนองเจ็ดเส้น อันเนื่องมาจากพระราชดำริตำบลหัวไผ่ อำเภอเมืองอ่างทอง ตำบลสายทอง           อำเภอป่าโมก จังหวัดอ่างทอง</t>
  </si>
  <si>
    <t>เหลือจ่ายจากการก่อหนี้ผูกพัน</t>
  </si>
  <si>
    <t>9. โครงการส่งเสริมการท่องเที่ยวเชิงวัฒนธรรม ถิ่นวีรชน และการเกษตร</t>
  </si>
  <si>
    <t>1) การประชุมคณะกรรมการและพัฒนาระบบสารสนเทศและการสื่อสารของจังหวัด และดำเนินงานหน่วยงานต้นแบบศูนย์ข้อมูลข่าวสาร ตาม พรบ. ข้อมูลข่าวสาร พ.ศ.2542</t>
  </si>
  <si>
    <t>7. โครงการพัฒนาขีดสมรรถนะผู้บริหารและหัวหน้าส่วนราชการจังหวัดอ่างทอง</t>
  </si>
  <si>
    <t xml:space="preserve"> 2) ปรับปรุงระบบกล้องโทรทัศน์วงจรปิดเพื่อประสิทธิภาพการบริหารงานด้านความมั่นคงและปลอดภัย</t>
  </si>
  <si>
    <t>2. การจัดประชุมก.บ.จ. หรือ ก.ร.อ.จังหวัด</t>
  </si>
  <si>
    <t xml:space="preserve"> - เบิกจ่ายครบถ้วน ภายใน 30 ก.ย. 60</t>
  </si>
  <si>
    <t xml:space="preserve"> - นำไปรวมกับกิจกรรมที่ 7 จำนวน 610,000 บาท</t>
  </si>
  <si>
    <t xml:space="preserve"> - เบิกจ่ายครบถ้วน ภายใน 30 ก.ย. 60
(เดียว)</t>
  </si>
  <si>
    <t xml:space="preserve"> - นำไปรวมกับกิจกรรมที่ 7 จำนวน 71,600 บาท</t>
  </si>
  <si>
    <t xml:space="preserve"> - เบิกจ่ายครบถ้วน ภายใน 30 ก.ย. 60
(อ.ปุ้ม)</t>
  </si>
  <si>
    <t>งบดำเนินงานที่ยกเลิก</t>
  </si>
  <si>
    <t xml:space="preserve"> - จัดทำป้ายโครงการฯ</t>
  </si>
  <si>
    <t xml:space="preserve"> - ปรับปรุงซ่อมแซมพลับพลาที่ประทับ</t>
  </si>
  <si>
    <t>ร้านวัฒนาก่อสร้าง</t>
  </si>
  <si>
    <t>เริ่ม 15 ส.ค. 60 สิ้นสุด 29 ก.ย. 60</t>
  </si>
  <si>
    <t>10. ส่งเสริมและพัฒนาฟาร์มตัวอย่างตามพระราชดำริ
 ในสมเด็จพระนางเจ้าฯ พระบรมราชินีนาถ บ้านยางกลาง 
ตำบลสีบัวทอง อำเภอแสวงหา จังหวัดอ่างทอง</t>
  </si>
  <si>
    <t>(13) ปรับปรุงเขื่อนป้องกันตลิ่ง หมู่ 4 ตำบลชัยฤทธิ์ อำเภอไชโย จังหวัดอ่างทอง</t>
  </si>
  <si>
    <t>(14) ก่อสร้างถนน คสล. หมู่ 2 ตำบลยางช้าย เชื่อมต่อหมู่ 2 
ตำบลคำหยาด อำเภอโพธิ์ทอง จังหวัดอ่างทอง</t>
  </si>
  <si>
    <t>(13) ปรับปรุงเสริมผิวพาราแอสฟัลท์ติกคอนกรีต ถนน คสล.ซอยเทศบาล 1 หมู่ 2 บ้านลั่นทม ตำบลรำมะสัก เชื่อมต่อ หมู่ 5 
ตำบลยางช้าย อำเภอโพธิ์ทอง จังหวัดอ่างทอง</t>
  </si>
  <si>
    <t>(14) ลาดยางแอสฟัลท์ติกคอนกรีตทับหน้าถนน คสล. ทางเข้าหมู่ 4 ตำบลโคกพุทรา อำเภอโพธิ์ทอง จังหวัดอ่างทอง</t>
  </si>
  <si>
    <t>(15) ซ่อมสร้างผิวทางแอสฟัลท์ติกคอนกรีต สาย อท 4008 
แยก ทล 3064 - บ้านคลองขุน อำเภอโพธิ์ทอง จังหวัดอ่างทอง</t>
  </si>
  <si>
    <t xml:space="preserve">(16) ก่อสร้างถนน คสล. คันคลองชลประทานชันสูตร (ฝั่งตะวันตก) หมู่ 3 ตำบลหลักแก้ว อำเภอวิเศษชัยชาญ จังหวัดอ่างทอง </t>
  </si>
  <si>
    <t xml:space="preserve">(17) ซ่อมสร้างผิวจราจรแอสฟัลท์ติกคอนกรีต หมู่ที่ 9,10 
ตำบลม่วงเตี้ย อำเภอวิเศษชัยชาญ จังหวัดอ่างทอง </t>
  </si>
  <si>
    <t>ยอดอนุมัติ</t>
  </si>
  <si>
    <t>ยอดดำเนินการ</t>
  </si>
  <si>
    <t>8. โครงการจัดอบรมการใช้ระเบียบกระทรวงการคลังว่าด้วยการจัดซื้อจัดจ้างและการบริหารพัสดุภาครัฐ พ.ศ. 2560 สำหรับเจ้าหน้าที่ผู้ปฏิบัติงานของหน่วยงานรัฐในจังหวัดอ่างทอง</t>
  </si>
  <si>
    <t>สนง.คลังจังหวัด</t>
  </si>
  <si>
    <t>สนจ.อท</t>
  </si>
  <si>
    <t>สนจ.อท.
(หน่วยตรวจสอบภายใน)</t>
  </si>
  <si>
    <t>สนจ.อท.
(กลุ่มงานบริหารทรัพยากรบุคคล)</t>
  </si>
  <si>
    <t>สนจ.อท.
(กลุ่มงานอำนวยการ)</t>
  </si>
  <si>
    <t>สนจ.อท.</t>
  </si>
  <si>
    <t xml:space="preserve"> - นำไปรวมกับกิจกรรมที่ 8 จำนวน 30,490 บาท</t>
  </si>
  <si>
    <t xml:space="preserve"> - นำไปรวมกับกิจกรรมที่ 8 จำนวน 600 บาท</t>
  </si>
  <si>
    <t xml:space="preserve"> - นำไปรวมกับกิจกรรมที่ 8 จำนวน 2,910 บาท</t>
  </si>
  <si>
    <t>สนง.ประชาสัมพันธ์</t>
  </si>
  <si>
    <t>สนง.พัฒนาสังคมและความมั่นคงของมนุษย์จังหวัดอ่างทอง</t>
  </si>
  <si>
    <t>สนง.วัฒนธรรมจังหวัด</t>
  </si>
  <si>
    <t>11. กิจกรรมส่งเสริมและพัฒนาโครงการฟาร์มตัวอย่างและศูนย์ศิลปาชีพสีบัวทอง
 - จัดซื้อหินคลุกพร้อมปรับเกลี่ย</t>
  </si>
  <si>
    <t>12. กิจกรรมส่งเสริมพัฒนาพื้นที่แก้มลิงหนองเจ็ดเส้น</t>
  </si>
  <si>
    <t xml:space="preserve"> - ปรับปรุงภูมิทัศน์ พร้อมซ่อมแซมป้ายโครงการ</t>
  </si>
  <si>
    <t xml:space="preserve"> - ซ่อมแอร์ ภายในอาคารเฉลิมพระเกียรติฯ</t>
  </si>
  <si>
    <t xml:space="preserve"> - เจาะบ่อบาดาล</t>
  </si>
  <si>
    <t xml:space="preserve"> - จัดซื้อดินและหินคลุก พร้อมปรับเกลี่ย</t>
  </si>
  <si>
    <t xml:space="preserve"> - จัดซื้อวัสดุ และปรับปรุงหลังคา</t>
  </si>
  <si>
    <t>สำนักงานเกษตรและสหกรณ์จังหวัด</t>
  </si>
  <si>
    <t>สำนักงานโยธาธิการและผังเมืองจังหวัด</t>
  </si>
  <si>
    <t>13. โครงการถวายอาลัยพ่อหลวง ร.9
 - กิจกรรมจัดซื้อต้นดาวเรืองพื่อประดับตกแต่งสถานที่จัดพิธีถวาย
พระเพลิงพระบรมศพพระบาทสมเด็จพระปรมินทรมหาภูมิพลอดุลยเดชและบริเวณนิทรรศการ</t>
  </si>
  <si>
    <t>อยู่ระหว่างแก้ไขเอกสาร</t>
  </si>
  <si>
    <t>อยู่ระหว่างทำเอกสาร</t>
  </si>
  <si>
    <t>(1) ก่อสร้างถนนลาดยางคันคลองระบายใหญ่แม่น้ำน้อย 3 
ฝั่งซ้าย (บ้านเขาบวช-อ่างแก้ว) เขตพื้นที่ตำบลองครักษ์,
ตำบลโคกพุทรา,ตำบลอ่างแก้ว อำเภอโพธิ์ทอง</t>
  </si>
  <si>
    <t>เริ่ม 29 พ.ค. 60 สิ้นสุด 25 พ.ย. 60</t>
  </si>
  <si>
    <t>เริ่ม 31 ก.ค. 60 สิ้นสุด 16 มิ.ย. 61</t>
  </si>
  <si>
    <t xml:space="preserve"> - นำไปรวมกับกิจกรรมที่ 7 จำนวน 47,800 บาท
 - นำไปรวมกับกิจกรรมที่ 8 จำนวน 13,069 บาท
 - นำไปใช้กิจกรรมที่ 7 จำนวน 50,000 บาท
 - คงเหลือ 34,244 บาท</t>
  </si>
  <si>
    <t>9. โครงการประชาสัมพันธ์ผลการดำเนินงานตามยุทธศาสตร์จังหวัดอ่างทอง ประจำปีงบประมาณ พ.ศ.2560</t>
  </si>
  <si>
    <t xml:space="preserve"> - คืนเงิน 148,740 บาท</t>
  </si>
  <si>
    <t xml:space="preserve"> - นำไปรวมกับกิจกรรมที่ 8 จำนวน 300 บาท
 - คงเหลือ 1,000 บาท</t>
  </si>
  <si>
    <t xml:space="preserve"> - คงเหลือ 32,029 บาท</t>
  </si>
  <si>
    <t xml:space="preserve"> - กันไว้จัดทำรายงานผลการดำเนินงานประจำปี 
จำนวน 95,000 บาท 
 - คงเหลืองบประมาณทั้งสิ้น 121,013 บาท
</t>
  </si>
  <si>
    <t xml:space="preserve">คงเหลือประมาณจาก กิจกรรมที่ 1, กิจกรรมที่ 2,โครงการสำรวจสำมะโนครัวเรือนเพื่อพัฒนาครอบครัวเป็นสุข ประจำปีงบประมาณ 2560  ,พัฒนาขีดสมรรถนะผู้บริหารและหัวหน้าส่วนราชการจังหวัด
อ่างทอง  รวม 216,013 บาท </t>
  </si>
  <si>
    <t xml:space="preserve"> - นำไปรวมกับกิจกรรมที่ 8 จำนวน 2,631 บาท</t>
  </si>
  <si>
    <t>กันเงินเหลื่อมปี</t>
  </si>
  <si>
    <t>วันที่ 20 กันยายน 2560</t>
  </si>
  <si>
    <t>5.1 โครงการประชาสัมพันธ์เพื่อสร้างแรงดึงดูดนักท่องเที่ยว</t>
  </si>
  <si>
    <t>5.2 โครงการประชาสัมพันธ์กิจกรรมส่งเสริมการท่องเที่ยวและจำหน่ายสินค้าจังหวัดอ่างทอง</t>
  </si>
  <si>
    <t>เริ่ม 15 ก.ย. 60 สิ้นสุด 14 ธ.ค. 60</t>
  </si>
  <si>
    <t>เริ่ม 15 ก.ย. 60 สิ้นสุด 13 ม.ค. 60</t>
  </si>
  <si>
    <t>วันที่ 22 กันยายน 2560</t>
  </si>
  <si>
    <t>ข้อมูล ณ วันที่ 22 กันยายน 2560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</si>
  <si>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ข้อมูล ณ วันที่ 22 กันยายน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</si>
</sst>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&quot;-&quot;_-;_-@_-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rgb="FFFF0000"/>
      <name val="Angsana New"/>
      <family val="1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3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5"/>
      <color theme="1"/>
      <name val="TH SarabunPSK"/>
      <family val="2"/>
    </font>
    <font>
      <sz val="10"/>
      <color rgb="FFFF0000"/>
      <name val="Tahoma"/>
      <family val="2"/>
      <charset val="222"/>
      <scheme val="minor"/>
    </font>
    <font>
      <sz val="16"/>
      <color theme="1"/>
      <name val="Angsana New"/>
      <family val="1"/>
    </font>
    <font>
      <sz val="10.5"/>
      <name val="TH SarabunPSK"/>
      <family val="2"/>
    </font>
    <font>
      <sz val="16"/>
      <color rgb="FFFF0000"/>
      <name val="Angsana New"/>
      <family val="1"/>
    </font>
    <font>
      <sz val="12"/>
      <color rgb="FFFF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8"/>
      <name val="TH SarabunPSK"/>
      <family val="2"/>
    </font>
    <font>
      <sz val="14"/>
      <color rgb="FFFF5050"/>
      <name val="TH SarabunPSK"/>
      <family val="2"/>
    </font>
    <font>
      <sz val="11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color theme="0"/>
      <name val="TH SarabunPSK"/>
      <family val="2"/>
    </font>
    <font>
      <b/>
      <sz val="14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938">
    <xf numFmtId="0" fontId="0" fillId="0" borderId="0" xfId="0"/>
    <xf numFmtId="0" fontId="0" fillId="0" borderId="0" xfId="0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6" fillId="3" borderId="7" xfId="0" applyNumberFormat="1" applyFont="1" applyFill="1" applyBorder="1" applyAlignment="1">
      <alignment horizontal="center" vertical="top" wrapText="1"/>
    </xf>
    <xf numFmtId="0" fontId="6" fillId="3" borderId="3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wrapText="1"/>
    </xf>
    <xf numFmtId="43" fontId="7" fillId="3" borderId="3" xfId="13" applyFont="1" applyFill="1" applyBorder="1"/>
    <xf numFmtId="0" fontId="7" fillId="3" borderId="3" xfId="0" applyFont="1" applyFill="1" applyBorder="1"/>
    <xf numFmtId="0" fontId="13" fillId="3" borderId="3" xfId="0" applyFont="1" applyFill="1" applyBorder="1" applyAlignment="1">
      <alignment horizontal="center" wrapText="1"/>
    </xf>
    <xf numFmtId="43" fontId="7" fillId="3" borderId="3" xfId="13" applyFont="1" applyFill="1" applyBorder="1" applyAlignment="1">
      <alignment horizontal="right"/>
    </xf>
    <xf numFmtId="41" fontId="4" fillId="3" borderId="3" xfId="0" applyNumberFormat="1" applyFont="1" applyFill="1" applyBorder="1" applyAlignment="1">
      <alignment horizontal="right" vertical="top" wrapText="1"/>
    </xf>
    <xf numFmtId="41" fontId="15" fillId="3" borderId="3" xfId="0" applyNumberFormat="1" applyFont="1" applyFill="1" applyBorder="1" applyAlignment="1">
      <alignment horizontal="left" vertical="center" wrapText="1"/>
    </xf>
    <xf numFmtId="0" fontId="0" fillId="0" borderId="0" xfId="0" applyBorder="1"/>
    <xf numFmtId="43" fontId="6" fillId="3" borderId="3" xfId="13" applyFont="1" applyFill="1" applyBorder="1" applyAlignment="1">
      <alignment horizontal="right" vertical="top" wrapText="1"/>
    </xf>
    <xf numFmtId="41" fontId="4" fillId="3" borderId="3" xfId="0" applyNumberFormat="1" applyFont="1" applyFill="1" applyBorder="1" applyAlignment="1">
      <alignment horizontal="center" vertical="top" wrapText="1"/>
    </xf>
    <xf numFmtId="41" fontId="5" fillId="3" borderId="3" xfId="0" applyNumberFormat="1" applyFont="1" applyFill="1" applyBorder="1" applyAlignment="1">
      <alignment horizontal="center" vertical="top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1" fontId="6" fillId="2" borderId="2" xfId="0" applyNumberFormat="1" applyFont="1" applyFill="1" applyBorder="1" applyAlignment="1">
      <alignment horizontal="center" vertical="center" wrapText="1"/>
    </xf>
    <xf numFmtId="43" fontId="6" fillId="2" borderId="3" xfId="1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top"/>
    </xf>
    <xf numFmtId="0" fontId="14" fillId="5" borderId="3" xfId="5" applyFont="1" applyFill="1" applyBorder="1" applyAlignment="1">
      <alignment horizontal="center" vertical="center"/>
    </xf>
    <xf numFmtId="0" fontId="22" fillId="4" borderId="3" xfId="5" applyFont="1" applyFill="1" applyBorder="1" applyAlignment="1">
      <alignment horizontal="center" vertical="top"/>
    </xf>
    <xf numFmtId="0" fontId="22" fillId="4" borderId="3" xfId="5" applyFont="1" applyFill="1" applyBorder="1" applyAlignment="1">
      <alignment horizontal="left" wrapText="1"/>
    </xf>
    <xf numFmtId="43" fontId="22" fillId="4" borderId="3" xfId="15" applyFont="1" applyFill="1" applyBorder="1" applyAlignment="1">
      <alignment horizontal="right" vertical="top"/>
    </xf>
    <xf numFmtId="43" fontId="23" fillId="4" borderId="3" xfId="15" applyFont="1" applyFill="1" applyBorder="1" applyAlignment="1">
      <alignment horizontal="right" vertical="top"/>
    </xf>
    <xf numFmtId="2" fontId="23" fillId="4" borderId="3" xfId="5" applyNumberFormat="1" applyFont="1" applyFill="1" applyBorder="1" applyAlignment="1">
      <alignment horizontal="center" vertical="top"/>
    </xf>
    <xf numFmtId="43" fontId="22" fillId="4" borderId="3" xfId="5" applyNumberFormat="1" applyFont="1" applyFill="1" applyBorder="1" applyAlignment="1">
      <alignment horizontal="right" vertical="top"/>
    </xf>
    <xf numFmtId="0" fontId="22" fillId="4" borderId="3" xfId="5" applyFont="1" applyFill="1" applyBorder="1" applyAlignment="1">
      <alignment horizontal="center" vertical="top" wrapText="1"/>
    </xf>
    <xf numFmtId="0" fontId="14" fillId="5" borderId="3" xfId="5" applyFont="1" applyFill="1" applyBorder="1" applyAlignment="1">
      <alignment horizontal="center"/>
    </xf>
    <xf numFmtId="43" fontId="14" fillId="5" borderId="3" xfId="5" applyNumberFormat="1" applyFont="1" applyFill="1" applyBorder="1" applyAlignment="1">
      <alignment horizontal="right" vertical="top"/>
    </xf>
    <xf numFmtId="2" fontId="14" fillId="5" borderId="3" xfId="5" applyNumberFormat="1" applyFont="1" applyFill="1" applyBorder="1" applyAlignment="1">
      <alignment horizontal="center" vertical="top"/>
    </xf>
    <xf numFmtId="0" fontId="14" fillId="5" borderId="3" xfId="5" applyFont="1" applyFill="1" applyBorder="1" applyAlignment="1">
      <alignment horizontal="right" vertical="top"/>
    </xf>
    <xf numFmtId="41" fontId="6" fillId="2" borderId="3" xfId="0" applyNumberFormat="1" applyFont="1" applyFill="1" applyBorder="1" applyAlignment="1">
      <alignment horizontal="center" vertical="center" wrapText="1"/>
    </xf>
    <xf numFmtId="41" fontId="6" fillId="2" borderId="12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43" fontId="9" fillId="3" borderId="3" xfId="13" applyFont="1" applyFill="1" applyBorder="1" applyAlignment="1">
      <alignment horizontal="right" wrapText="1"/>
    </xf>
    <xf numFmtId="43" fontId="9" fillId="3" borderId="3" xfId="13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wrapText="1"/>
    </xf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43" fontId="9" fillId="3" borderId="3" xfId="13" applyFont="1" applyFill="1" applyBorder="1"/>
    <xf numFmtId="0" fontId="9" fillId="3" borderId="3" xfId="0" applyFont="1" applyFill="1" applyBorder="1" applyAlignment="1">
      <alignment vertical="top"/>
    </xf>
    <xf numFmtId="0" fontId="9" fillId="3" borderId="3" xfId="0" applyFont="1" applyFill="1" applyBorder="1" applyAlignment="1">
      <alignment vertical="top" wrapText="1"/>
    </xf>
    <xf numFmtId="43" fontId="13" fillId="3" borderId="3" xfId="13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43" fontId="13" fillId="3" borderId="3" xfId="13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3" borderId="3" xfId="14" applyFont="1" applyFill="1" applyBorder="1" applyAlignment="1">
      <alignment vertical="top" wrapText="1"/>
    </xf>
    <xf numFmtId="0" fontId="12" fillId="3" borderId="3" xfId="14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wrapText="1"/>
    </xf>
    <xf numFmtId="41" fontId="13" fillId="3" borderId="3" xfId="2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41" fontId="14" fillId="3" borderId="3" xfId="0" applyNumberFormat="1" applyFont="1" applyFill="1" applyBorder="1" applyAlignment="1">
      <alignment horizontal="center" vertical="top" wrapText="1"/>
    </xf>
    <xf numFmtId="41" fontId="14" fillId="3" borderId="3" xfId="0" applyNumberFormat="1" applyFont="1" applyFill="1" applyBorder="1" applyAlignment="1">
      <alignment horizontal="right" vertical="top" wrapText="1"/>
    </xf>
    <xf numFmtId="43" fontId="14" fillId="3" borderId="3" xfId="13" applyFont="1" applyFill="1" applyBorder="1" applyAlignment="1">
      <alignment horizontal="right" vertical="top" wrapText="1"/>
    </xf>
    <xf numFmtId="3" fontId="6" fillId="3" borderId="3" xfId="0" applyNumberFormat="1" applyFont="1" applyFill="1" applyBorder="1" applyAlignment="1">
      <alignment horizontal="right" vertical="top" wrapText="1"/>
    </xf>
    <xf numFmtId="3" fontId="4" fillId="3" borderId="3" xfId="1" applyNumberFormat="1" applyFont="1" applyFill="1" applyBorder="1" applyAlignment="1">
      <alignment vertical="top" wrapText="1"/>
    </xf>
    <xf numFmtId="41" fontId="6" fillId="3" borderId="3" xfId="1" applyNumberFormat="1" applyFont="1" applyFill="1" applyBorder="1" applyAlignment="1">
      <alignment horizontal="right" vertical="top" wrapText="1"/>
    </xf>
    <xf numFmtId="41" fontId="14" fillId="3" borderId="3" xfId="1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15" fillId="3" borderId="3" xfId="0" applyNumberFormat="1" applyFont="1" applyFill="1" applyBorder="1" applyAlignment="1">
      <alignment horizontal="center" vertical="top" wrapText="1"/>
    </xf>
    <xf numFmtId="41" fontId="15" fillId="3" borderId="3" xfId="0" applyNumberFormat="1" applyFont="1" applyFill="1" applyBorder="1" applyAlignment="1">
      <alignment horizontal="left" vertical="top" wrapText="1"/>
    </xf>
    <xf numFmtId="41" fontId="22" fillId="3" borderId="3" xfId="0" applyNumberFormat="1" applyFont="1" applyFill="1" applyBorder="1" applyAlignment="1">
      <alignment horizontal="right" vertical="top" wrapText="1"/>
    </xf>
    <xf numFmtId="41" fontId="5" fillId="3" borderId="3" xfId="0" applyNumberFormat="1" applyFont="1" applyFill="1" applyBorder="1" applyAlignment="1">
      <alignment horizontal="center" vertical="center" wrapText="1"/>
    </xf>
    <xf numFmtId="43" fontId="22" fillId="3" borderId="3" xfId="13" applyFont="1" applyFill="1" applyBorder="1" applyAlignment="1">
      <alignment horizontal="right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1" fontId="15" fillId="3" borderId="3" xfId="0" applyNumberFormat="1" applyFont="1" applyFill="1" applyBorder="1" applyAlignment="1">
      <alignment vertical="top" wrapText="1"/>
    </xf>
    <xf numFmtId="41" fontId="22" fillId="3" borderId="3" xfId="0" applyNumberFormat="1" applyFont="1" applyFill="1" applyBorder="1" applyAlignment="1">
      <alignment horizontal="right" vertical="top"/>
    </xf>
    <xf numFmtId="43" fontId="14" fillId="3" borderId="3" xfId="13" applyFont="1" applyFill="1" applyBorder="1" applyAlignment="1">
      <alignment horizontal="right" vertical="top"/>
    </xf>
    <xf numFmtId="3" fontId="4" fillId="3" borderId="3" xfId="1" applyNumberFormat="1" applyFont="1" applyFill="1" applyBorder="1" applyAlignment="1">
      <alignment horizontal="center" vertical="top"/>
    </xf>
    <xf numFmtId="3" fontId="4" fillId="3" borderId="3" xfId="1" applyNumberFormat="1" applyFont="1" applyFill="1" applyBorder="1" applyAlignment="1">
      <alignment horizontal="center" vertical="top" wrapText="1"/>
    </xf>
    <xf numFmtId="41" fontId="6" fillId="3" borderId="3" xfId="0" applyNumberFormat="1" applyFont="1" applyFill="1" applyBorder="1" applyAlignment="1">
      <alignment horizontal="left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41" fontId="15" fillId="3" borderId="9" xfId="0" applyNumberFormat="1" applyFont="1" applyFill="1" applyBorder="1" applyAlignment="1">
      <alignment vertical="top" wrapText="1"/>
    </xf>
    <xf numFmtId="43" fontId="22" fillId="3" borderId="3" xfId="13" applyFont="1" applyFill="1" applyBorder="1" applyAlignment="1">
      <alignment horizontal="right" wrapText="1"/>
    </xf>
    <xf numFmtId="41" fontId="15" fillId="3" borderId="3" xfId="0" applyNumberFormat="1" applyFont="1" applyFill="1" applyBorder="1" applyAlignment="1">
      <alignment horizontal="left" vertical="top"/>
    </xf>
    <xf numFmtId="41" fontId="15" fillId="3" borderId="3" xfId="3" applyNumberFormat="1" applyFont="1" applyFill="1" applyBorder="1" applyAlignment="1">
      <alignment horizontal="left" vertical="top" wrapText="1"/>
    </xf>
    <xf numFmtId="41" fontId="14" fillId="3" borderId="9" xfId="1" applyNumberFormat="1" applyFont="1" applyFill="1" applyBorder="1" applyAlignment="1">
      <alignment horizontal="right" vertical="top" wrapText="1"/>
    </xf>
    <xf numFmtId="41" fontId="5" fillId="3" borderId="9" xfId="1" applyNumberFormat="1" applyFont="1" applyFill="1" applyBorder="1" applyAlignment="1">
      <alignment horizontal="right" vertical="top" wrapText="1"/>
    </xf>
    <xf numFmtId="43" fontId="23" fillId="3" borderId="3" xfId="13" applyFont="1" applyFill="1" applyBorder="1" applyAlignment="1">
      <alignment horizontal="right" vertical="top" wrapText="1"/>
    </xf>
    <xf numFmtId="49" fontId="16" fillId="3" borderId="3" xfId="0" applyNumberFormat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top" wrapText="1"/>
    </xf>
    <xf numFmtId="41" fontId="15" fillId="3" borderId="2" xfId="0" applyNumberFormat="1" applyFont="1" applyFill="1" applyBorder="1" applyAlignment="1">
      <alignment vertical="top" wrapText="1"/>
    </xf>
    <xf numFmtId="0" fontId="16" fillId="3" borderId="3" xfId="0" applyFont="1" applyFill="1" applyBorder="1" applyAlignment="1">
      <alignment horizontal="center" vertical="top" wrapText="1"/>
    </xf>
    <xf numFmtId="188" fontId="4" fillId="3" borderId="3" xfId="1" applyNumberFormat="1" applyFont="1" applyFill="1" applyBorder="1" applyAlignment="1">
      <alignment horizontal="center" vertical="top" wrapText="1"/>
    </xf>
    <xf numFmtId="0" fontId="15" fillId="3" borderId="5" xfId="0" applyNumberFormat="1" applyFont="1" applyFill="1" applyBorder="1" applyAlignment="1">
      <alignment horizontal="center" vertical="top" wrapText="1"/>
    </xf>
    <xf numFmtId="49" fontId="16" fillId="3" borderId="3" xfId="3" applyNumberFormat="1" applyFont="1" applyFill="1" applyBorder="1" applyAlignment="1">
      <alignment horizontal="center" vertical="top" wrapText="1"/>
    </xf>
    <xf numFmtId="41" fontId="15" fillId="3" borderId="2" xfId="3" applyNumberFormat="1" applyFont="1" applyFill="1" applyBorder="1" applyAlignment="1">
      <alignment horizontal="left" vertical="top" wrapText="1"/>
    </xf>
    <xf numFmtId="41" fontId="15" fillId="3" borderId="3" xfId="3" applyNumberFormat="1" applyFont="1" applyFill="1" applyBorder="1" applyAlignment="1">
      <alignment vertical="top" wrapText="1"/>
    </xf>
    <xf numFmtId="49" fontId="16" fillId="3" borderId="3" xfId="0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vertical="top"/>
    </xf>
    <xf numFmtId="41" fontId="6" fillId="3" borderId="3" xfId="0" applyNumberFormat="1" applyFont="1" applyFill="1" applyBorder="1" applyAlignment="1">
      <alignment horizontal="left" vertical="center" wrapText="1"/>
    </xf>
    <xf numFmtId="41" fontId="16" fillId="3" borderId="3" xfId="1" applyNumberFormat="1" applyFont="1" applyFill="1" applyBorder="1" applyAlignment="1">
      <alignment horizontal="center" vertical="top" wrapText="1"/>
    </xf>
    <xf numFmtId="43" fontId="14" fillId="3" borderId="3" xfId="13" applyFont="1" applyFill="1" applyBorder="1" applyAlignment="1">
      <alignment horizontal="center" vertical="top" wrapText="1"/>
    </xf>
    <xf numFmtId="41" fontId="10" fillId="3" borderId="3" xfId="0" applyNumberFormat="1" applyFont="1" applyFill="1" applyBorder="1"/>
    <xf numFmtId="41" fontId="20" fillId="3" borderId="3" xfId="0" applyNumberFormat="1" applyFont="1" applyFill="1" applyBorder="1"/>
    <xf numFmtId="43" fontId="10" fillId="3" borderId="3" xfId="13" applyFont="1" applyFill="1" applyBorder="1"/>
    <xf numFmtId="2" fontId="10" fillId="3" borderId="3" xfId="0" applyNumberFormat="1" applyFont="1" applyFill="1" applyBorder="1"/>
    <xf numFmtId="43" fontId="0" fillId="0" borderId="0" xfId="0" applyNumberFormat="1"/>
    <xf numFmtId="43" fontId="0" fillId="0" borderId="0" xfId="13" applyFont="1"/>
    <xf numFmtId="2" fontId="0" fillId="0" borderId="0" xfId="0" applyNumberFormat="1"/>
    <xf numFmtId="43" fontId="13" fillId="3" borderId="3" xfId="13" applyFont="1" applyFill="1" applyBorder="1" applyAlignment="1">
      <alignment vertical="center" wrapText="1"/>
    </xf>
    <xf numFmtId="41" fontId="15" fillId="3" borderId="9" xfId="0" applyNumberFormat="1" applyFont="1" applyFill="1" applyBorder="1" applyAlignment="1">
      <alignment horizontal="left" vertical="top" wrapText="1"/>
    </xf>
    <xf numFmtId="43" fontId="13" fillId="3" borderId="3" xfId="13" applyFont="1" applyFill="1" applyBorder="1" applyAlignment="1">
      <alignment wrapText="1"/>
    </xf>
    <xf numFmtId="43" fontId="13" fillId="3" borderId="3" xfId="13" applyFont="1" applyFill="1" applyBorder="1" applyAlignment="1">
      <alignment vertical="center"/>
    </xf>
    <xf numFmtId="15" fontId="13" fillId="3" borderId="3" xfId="13" applyNumberFormat="1" applyFont="1" applyFill="1" applyBorder="1" applyAlignment="1">
      <alignment horizontal="center" vertical="center" wrapText="1"/>
    </xf>
    <xf numFmtId="41" fontId="4" fillId="3" borderId="3" xfId="1" applyNumberFormat="1" applyFont="1" applyFill="1" applyBorder="1" applyAlignment="1">
      <alignment horizontal="center" vertical="center"/>
    </xf>
    <xf numFmtId="41" fontId="4" fillId="3" borderId="3" xfId="0" applyNumberFormat="1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horizontal="center" vertical="center" wrapText="1"/>
    </xf>
    <xf numFmtId="43" fontId="22" fillId="3" borderId="3" xfId="13" applyFont="1" applyFill="1" applyBorder="1" applyAlignment="1">
      <alignment horizontal="center" vertical="top" wrapText="1"/>
    </xf>
    <xf numFmtId="0" fontId="0" fillId="0" borderId="0" xfId="0" applyFont="1"/>
    <xf numFmtId="0" fontId="27" fillId="0" borderId="0" xfId="0" applyFont="1"/>
    <xf numFmtId="41" fontId="6" fillId="6" borderId="3" xfId="0" applyNumberFormat="1" applyFont="1" applyFill="1" applyBorder="1" applyAlignment="1">
      <alignment horizontal="left" vertical="center" wrapText="1"/>
    </xf>
    <xf numFmtId="43" fontId="14" fillId="6" borderId="3" xfId="13" applyFont="1" applyFill="1" applyBorder="1" applyAlignment="1">
      <alignment horizontal="center" vertical="top" wrapText="1"/>
    </xf>
    <xf numFmtId="43" fontId="14" fillId="6" borderId="3" xfId="13" applyFont="1" applyFill="1" applyBorder="1" applyAlignment="1">
      <alignment horizontal="right" vertical="top" wrapText="1"/>
    </xf>
    <xf numFmtId="41" fontId="25" fillId="0" borderId="0" xfId="0" applyNumberFormat="1" applyFont="1"/>
    <xf numFmtId="0" fontId="29" fillId="0" borderId="0" xfId="0" applyFont="1" applyAlignment="1">
      <alignment horizontal="center" vertical="center" wrapText="1"/>
    </xf>
    <xf numFmtId="43" fontId="25" fillId="0" borderId="0" xfId="13" applyFont="1"/>
    <xf numFmtId="0" fontId="29" fillId="0" borderId="0" xfId="0" applyFont="1"/>
    <xf numFmtId="43" fontId="0" fillId="0" borderId="0" xfId="0" applyNumberFormat="1" applyFont="1"/>
    <xf numFmtId="41" fontId="30" fillId="0" borderId="0" xfId="0" applyNumberFormat="1" applyFont="1"/>
    <xf numFmtId="41" fontId="11" fillId="0" borderId="0" xfId="0" applyNumberFormat="1" applyFont="1"/>
    <xf numFmtId="41" fontId="32" fillId="7" borderId="3" xfId="0" applyNumberFormat="1" applyFont="1" applyFill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left" vertical="top" wrapText="1"/>
    </xf>
    <xf numFmtId="41" fontId="10" fillId="0" borderId="3" xfId="13" applyNumberFormat="1" applyFont="1" applyBorder="1" applyAlignment="1">
      <alignment vertical="top"/>
    </xf>
    <xf numFmtId="41" fontId="10" fillId="0" borderId="3" xfId="13" applyNumberFormat="1" applyFont="1" applyBorder="1" applyAlignment="1">
      <alignment horizontal="right" vertical="top"/>
    </xf>
    <xf numFmtId="41" fontId="10" fillId="0" borderId="3" xfId="0" applyNumberFormat="1" applyFont="1" applyBorder="1" applyAlignment="1">
      <alignment horizontal="right" vertical="top"/>
    </xf>
    <xf numFmtId="41" fontId="11" fillId="0" borderId="3" xfId="0" applyNumberFormat="1" applyFont="1" applyBorder="1" applyAlignment="1">
      <alignment horizontal="left" vertical="top" wrapText="1"/>
    </xf>
    <xf numFmtId="41" fontId="11" fillId="0" borderId="3" xfId="13" applyNumberFormat="1" applyFont="1" applyBorder="1" applyAlignment="1">
      <alignment vertical="top"/>
    </xf>
    <xf numFmtId="41" fontId="10" fillId="0" borderId="6" xfId="0" applyNumberFormat="1" applyFont="1" applyBorder="1" applyAlignment="1">
      <alignment horizontal="center" vertical="top"/>
    </xf>
    <xf numFmtId="41" fontId="30" fillId="0" borderId="0" xfId="0" applyNumberFormat="1" applyFont="1" applyAlignment="1">
      <alignment wrapText="1"/>
    </xf>
    <xf numFmtId="41" fontId="10" fillId="8" borderId="3" xfId="13" applyNumberFormat="1" applyFont="1" applyFill="1" applyBorder="1" applyAlignment="1">
      <alignment vertical="top"/>
    </xf>
    <xf numFmtId="41" fontId="11" fillId="8" borderId="3" xfId="0" applyNumberFormat="1" applyFont="1" applyFill="1" applyBorder="1" applyAlignment="1">
      <alignment vertical="top"/>
    </xf>
    <xf numFmtId="41" fontId="0" fillId="0" borderId="0" xfId="0" applyNumberFormat="1"/>
    <xf numFmtId="41" fontId="13" fillId="0" borderId="3" xfId="0" applyNumberFormat="1" applyFont="1" applyBorder="1" applyAlignment="1">
      <alignment horizontal="left" vertical="top" wrapText="1"/>
    </xf>
    <xf numFmtId="41" fontId="9" fillId="0" borderId="3" xfId="13" applyNumberFormat="1" applyFont="1" applyBorder="1" applyAlignment="1">
      <alignment horizontal="right" vertical="top"/>
    </xf>
    <xf numFmtId="41" fontId="13" fillId="0" borderId="3" xfId="13" applyNumberFormat="1" applyFont="1" applyBorder="1" applyAlignment="1">
      <alignment horizontal="center" vertical="center" wrapText="1"/>
    </xf>
    <xf numFmtId="43" fontId="10" fillId="0" borderId="3" xfId="13" applyFont="1" applyBorder="1" applyAlignment="1">
      <alignment horizontal="right" vertical="top"/>
    </xf>
    <xf numFmtId="41" fontId="10" fillId="8" borderId="3" xfId="13" applyNumberFormat="1" applyFont="1" applyFill="1" applyBorder="1" applyAlignment="1">
      <alignment horizontal="right" vertical="top"/>
    </xf>
    <xf numFmtId="43" fontId="10" fillId="8" borderId="3" xfId="13" applyFont="1" applyFill="1" applyBorder="1" applyAlignment="1">
      <alignment vertical="top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0" fillId="0" borderId="3" xfId="0" applyBorder="1"/>
    <xf numFmtId="43" fontId="34" fillId="0" borderId="0" xfId="13" applyFont="1"/>
    <xf numFmtId="41" fontId="13" fillId="0" borderId="3" xfId="13" applyNumberFormat="1" applyFont="1" applyBorder="1" applyAlignment="1">
      <alignment horizontal="center" vertical="center"/>
    </xf>
    <xf numFmtId="0" fontId="5" fillId="0" borderId="0" xfId="0" applyFont="1" applyFill="1"/>
    <xf numFmtId="0" fontId="1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1" fontId="14" fillId="2" borderId="3" xfId="13" applyNumberFormat="1" applyFont="1" applyFill="1" applyBorder="1"/>
    <xf numFmtId="0" fontId="14" fillId="2" borderId="3" xfId="0" applyFont="1" applyFill="1" applyBorder="1"/>
    <xf numFmtId="41" fontId="14" fillId="9" borderId="9" xfId="0" applyNumberFormat="1" applyFont="1" applyFill="1" applyBorder="1" applyAlignment="1" applyProtection="1">
      <alignment horizontal="center" vertical="top"/>
      <protection locked="0"/>
    </xf>
    <xf numFmtId="0" fontId="14" fillId="9" borderId="9" xfId="0" applyFont="1" applyFill="1" applyBorder="1" applyAlignment="1" applyProtection="1">
      <alignment horizontal="center" vertical="top"/>
      <protection locked="0"/>
    </xf>
    <xf numFmtId="41" fontId="14" fillId="10" borderId="9" xfId="13" applyNumberFormat="1" applyFont="1" applyFill="1" applyBorder="1" applyAlignment="1">
      <alignment horizontal="right" vertical="top"/>
    </xf>
    <xf numFmtId="0" fontId="14" fillId="10" borderId="9" xfId="0" applyFont="1" applyFill="1" applyBorder="1" applyAlignment="1">
      <alignment vertical="top"/>
    </xf>
    <xf numFmtId="41" fontId="5" fillId="0" borderId="0" xfId="0" applyNumberFormat="1" applyFont="1" applyFill="1"/>
    <xf numFmtId="0" fontId="22" fillId="4" borderId="1" xfId="0" applyFont="1" applyFill="1" applyBorder="1"/>
    <xf numFmtId="41" fontId="14" fillId="4" borderId="3" xfId="0" applyNumberFormat="1" applyFont="1" applyFill="1" applyBorder="1" applyAlignment="1">
      <alignment horizontal="right" vertical="top"/>
    </xf>
    <xf numFmtId="41" fontId="14" fillId="4" borderId="2" xfId="0" applyNumberFormat="1" applyFont="1" applyFill="1" applyBorder="1" applyAlignment="1">
      <alignment horizontal="right" vertical="top"/>
    </xf>
    <xf numFmtId="0" fontId="14" fillId="4" borderId="2" xfId="0" applyFont="1" applyFill="1" applyBorder="1" applyAlignment="1">
      <alignment vertical="top"/>
    </xf>
    <xf numFmtId="0" fontId="22" fillId="0" borderId="1" xfId="0" applyFont="1" applyFill="1" applyBorder="1"/>
    <xf numFmtId="0" fontId="22" fillId="0" borderId="11" xfId="0" applyFont="1" applyFill="1" applyBorder="1"/>
    <xf numFmtId="0" fontId="22" fillId="0" borderId="2" xfId="0" applyFont="1" applyFill="1" applyBorder="1" applyAlignment="1">
      <alignment horizontal="left" vertical="top" wrapText="1"/>
    </xf>
    <xf numFmtId="41" fontId="22" fillId="0" borderId="3" xfId="13" applyNumberFormat="1" applyFont="1" applyFill="1" applyBorder="1" applyAlignment="1">
      <alignment horizontal="center" vertical="top"/>
    </xf>
    <xf numFmtId="0" fontId="22" fillId="0" borderId="6" xfId="0" applyFont="1" applyFill="1" applyBorder="1"/>
    <xf numFmtId="0" fontId="22" fillId="0" borderId="0" xfId="0" applyFont="1" applyFill="1" applyBorder="1"/>
    <xf numFmtId="0" fontId="22" fillId="0" borderId="13" xfId="0" applyFont="1" applyFill="1" applyBorder="1" applyAlignment="1">
      <alignment horizontal="left" vertical="top" wrapText="1"/>
    </xf>
    <xf numFmtId="0" fontId="22" fillId="0" borderId="6" xfId="0" applyFont="1" applyFill="1" applyBorder="1" applyAlignment="1"/>
    <xf numFmtId="0" fontId="22" fillId="0" borderId="0" xfId="0" applyFont="1" applyFill="1" applyBorder="1" applyAlignment="1"/>
    <xf numFmtId="0" fontId="5" fillId="0" borderId="0" xfId="0" applyFont="1" applyFill="1" applyAlignment="1"/>
    <xf numFmtId="0" fontId="22" fillId="0" borderId="1" xfId="0" applyFont="1" applyFill="1" applyBorder="1" applyAlignment="1"/>
    <xf numFmtId="0" fontId="22" fillId="0" borderId="11" xfId="0" applyFont="1" applyFill="1" applyBorder="1" applyAlignment="1"/>
    <xf numFmtId="0" fontId="22" fillId="0" borderId="2" xfId="0" applyFont="1" applyFill="1" applyBorder="1" applyAlignment="1">
      <alignment vertical="top"/>
    </xf>
    <xf numFmtId="41" fontId="22" fillId="0" borderId="3" xfId="0" applyNumberFormat="1" applyFont="1" applyFill="1" applyBorder="1" applyAlignment="1">
      <alignment vertical="top"/>
    </xf>
    <xf numFmtId="0" fontId="22" fillId="0" borderId="13" xfId="0" applyFont="1" applyFill="1" applyBorder="1" applyAlignment="1">
      <alignment vertical="top"/>
    </xf>
    <xf numFmtId="41" fontId="1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41" fontId="22" fillId="0" borderId="3" xfId="13" applyNumberFormat="1" applyFont="1" applyFill="1" applyBorder="1" applyAlignment="1">
      <alignment horizontal="right" vertical="top"/>
    </xf>
    <xf numFmtId="41" fontId="14" fillId="10" borderId="3" xfId="13" applyNumberFormat="1" applyFont="1" applyFill="1" applyBorder="1" applyAlignment="1">
      <alignment horizontal="right" vertical="top"/>
    </xf>
    <xf numFmtId="0" fontId="14" fillId="4" borderId="8" xfId="0" applyFont="1" applyFill="1" applyBorder="1"/>
    <xf numFmtId="41" fontId="14" fillId="4" borderId="9" xfId="0" applyNumberFormat="1" applyFont="1" applyFill="1" applyBorder="1" applyAlignment="1">
      <alignment horizontal="right" vertical="top"/>
    </xf>
    <xf numFmtId="0" fontId="22" fillId="0" borderId="8" xfId="0" applyFont="1" applyFill="1" applyBorder="1"/>
    <xf numFmtId="0" fontId="22" fillId="0" borderId="14" xfId="0" applyFont="1" applyFill="1" applyBorder="1"/>
    <xf numFmtId="0" fontId="22" fillId="0" borderId="8" xfId="0" applyFont="1" applyFill="1" applyBorder="1" applyAlignment="1"/>
    <xf numFmtId="0" fontId="22" fillId="0" borderId="14" xfId="0" applyFont="1" applyFill="1" applyBorder="1" applyAlignment="1"/>
    <xf numFmtId="41" fontId="22" fillId="0" borderId="3" xfId="0" applyNumberFormat="1" applyFont="1" applyFill="1" applyBorder="1" applyAlignment="1">
      <alignment horizontal="right" vertical="top"/>
    </xf>
    <xf numFmtId="0" fontId="14" fillId="4" borderId="1" xfId="0" applyFont="1" applyFill="1" applyBorder="1"/>
    <xf numFmtId="0" fontId="22" fillId="0" borderId="12" xfId="0" applyFont="1" applyFill="1" applyBorder="1"/>
    <xf numFmtId="0" fontId="22" fillId="0" borderId="10" xfId="0" applyFont="1" applyFill="1" applyBorder="1"/>
    <xf numFmtId="41" fontId="14" fillId="10" borderId="3" xfId="0" applyNumberFormat="1" applyFont="1" applyFill="1" applyBorder="1" applyAlignment="1">
      <alignment vertical="top" wrapText="1"/>
    </xf>
    <xf numFmtId="41" fontId="14" fillId="2" borderId="3" xfId="0" applyNumberFormat="1" applyFont="1" applyFill="1" applyBorder="1" applyAlignment="1">
      <alignment vertical="top"/>
    </xf>
    <xf numFmtId="41" fontId="14" fillId="10" borderId="3" xfId="13" applyNumberFormat="1" applyFont="1" applyFill="1" applyBorder="1" applyAlignment="1">
      <alignment horizontal="left" vertical="top"/>
    </xf>
    <xf numFmtId="41" fontId="14" fillId="4" borderId="3" xfId="0" applyNumberFormat="1" applyFont="1" applyFill="1" applyBorder="1" applyAlignment="1">
      <alignment horizontal="left" vertical="top"/>
    </xf>
    <xf numFmtId="41" fontId="22" fillId="0" borderId="2" xfId="0" applyNumberFormat="1" applyFont="1" applyBorder="1" applyAlignment="1">
      <alignment horizontal="right" vertical="top"/>
    </xf>
    <xf numFmtId="0" fontId="22" fillId="0" borderId="11" xfId="0" applyFont="1" applyBorder="1" applyAlignment="1">
      <alignment horizontal="left" vertical="top" wrapText="1"/>
    </xf>
    <xf numFmtId="41" fontId="22" fillId="0" borderId="3" xfId="0" applyNumberFormat="1" applyFont="1" applyBorder="1" applyAlignment="1">
      <alignment horizontal="right" vertical="top"/>
    </xf>
    <xf numFmtId="0" fontId="22" fillId="0" borderId="15" xfId="0" applyFont="1" applyBorder="1" applyAlignment="1">
      <alignment horizontal="left" vertical="top" wrapText="1"/>
    </xf>
    <xf numFmtId="0" fontId="22" fillId="0" borderId="12" xfId="0" applyFont="1" applyFill="1" applyBorder="1" applyAlignment="1"/>
    <xf numFmtId="0" fontId="22" fillId="0" borderId="10" xfId="0" applyFont="1" applyFill="1" applyBorder="1" applyAlignment="1"/>
    <xf numFmtId="0" fontId="22" fillId="0" borderId="4" xfId="0" applyFont="1" applyBorder="1" applyAlignment="1">
      <alignment horizontal="left" vertical="top" wrapText="1"/>
    </xf>
    <xf numFmtId="0" fontId="22" fillId="4" borderId="8" xfId="0" applyFont="1" applyFill="1" applyBorder="1"/>
    <xf numFmtId="0" fontId="35" fillId="0" borderId="0" xfId="0" applyFont="1" applyFill="1" applyAlignment="1"/>
    <xf numFmtId="0" fontId="15" fillId="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43" fontId="11" fillId="0" borderId="3" xfId="13" applyFont="1" applyBorder="1" applyAlignment="1">
      <alignment vertical="top"/>
    </xf>
    <xf numFmtId="43" fontId="23" fillId="0" borderId="0" xfId="0" applyNumberFormat="1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3" fontId="11" fillId="0" borderId="3" xfId="13" applyFont="1" applyBorder="1" applyAlignment="1">
      <alignment horizontal="right" vertical="top"/>
    </xf>
    <xf numFmtId="41" fontId="11" fillId="0" borderId="3" xfId="13" applyNumberFormat="1" applyFont="1" applyBorder="1" applyAlignment="1">
      <alignment horizontal="center" vertical="top" wrapText="1"/>
    </xf>
    <xf numFmtId="43" fontId="22" fillId="0" borderId="3" xfId="13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center" vertical="center" wrapText="1"/>
    </xf>
    <xf numFmtId="41" fontId="22" fillId="3" borderId="3" xfId="13" applyNumberFormat="1" applyFont="1" applyFill="1" applyBorder="1" applyAlignment="1">
      <alignment horizontal="center" vertical="top"/>
    </xf>
    <xf numFmtId="41" fontId="22" fillId="3" borderId="3" xfId="0" applyNumberFormat="1" applyFont="1" applyFill="1" applyBorder="1" applyAlignment="1">
      <alignment vertical="top"/>
    </xf>
    <xf numFmtId="41" fontId="22" fillId="3" borderId="2" xfId="0" applyNumberFormat="1" applyFont="1" applyFill="1" applyBorder="1" applyAlignment="1">
      <alignment horizontal="right" vertical="top"/>
    </xf>
    <xf numFmtId="41" fontId="5" fillId="3" borderId="0" xfId="0" applyNumberFormat="1" applyFont="1" applyFill="1"/>
    <xf numFmtId="43" fontId="14" fillId="4" borderId="9" xfId="13" applyFont="1" applyFill="1" applyBorder="1" applyAlignment="1">
      <alignment horizontal="right" vertical="top"/>
    </xf>
    <xf numFmtId="43" fontId="14" fillId="10" borderId="3" xfId="13" applyFont="1" applyFill="1" applyBorder="1" applyAlignment="1">
      <alignment horizontal="right" vertical="top"/>
    </xf>
    <xf numFmtId="43" fontId="14" fillId="2" borderId="3" xfId="13" applyFont="1" applyFill="1" applyBorder="1"/>
    <xf numFmtId="43" fontId="22" fillId="0" borderId="3" xfId="13" applyFont="1" applyFill="1" applyBorder="1" applyAlignment="1">
      <alignment vertical="top"/>
    </xf>
    <xf numFmtId="41" fontId="22" fillId="0" borderId="4" xfId="0" applyNumberFormat="1" applyFont="1" applyFill="1" applyBorder="1" applyAlignment="1">
      <alignment horizontal="right" vertical="top"/>
    </xf>
    <xf numFmtId="41" fontId="22" fillId="3" borderId="4" xfId="0" applyNumberFormat="1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 wrapText="1"/>
    </xf>
    <xf numFmtId="43" fontId="22" fillId="0" borderId="3" xfId="13" applyFont="1" applyBorder="1" applyAlignment="1">
      <alignment horizontal="right" vertical="top"/>
    </xf>
    <xf numFmtId="43" fontId="14" fillId="4" borderId="3" xfId="13" applyFont="1" applyFill="1" applyBorder="1" applyAlignment="1">
      <alignment horizontal="right" vertical="top"/>
    </xf>
    <xf numFmtId="43" fontId="22" fillId="0" borderId="4" xfId="13" applyFont="1" applyFill="1" applyBorder="1" applyAlignment="1">
      <alignment horizontal="right" vertical="top"/>
    </xf>
    <xf numFmtId="43" fontId="14" fillId="9" borderId="3" xfId="13" applyFont="1" applyFill="1" applyBorder="1"/>
    <xf numFmtId="43" fontId="22" fillId="0" borderId="3" xfId="0" applyNumberFormat="1" applyFont="1" applyFill="1" applyBorder="1" applyAlignment="1">
      <alignment horizontal="right" vertical="top"/>
    </xf>
    <xf numFmtId="41" fontId="22" fillId="10" borderId="2" xfId="0" applyNumberFormat="1" applyFont="1" applyFill="1" applyBorder="1" applyAlignment="1">
      <alignment horizontal="right" vertical="top"/>
    </xf>
    <xf numFmtId="41" fontId="22" fillId="4" borderId="2" xfId="0" applyNumberFormat="1" applyFont="1" applyFill="1" applyBorder="1" applyAlignment="1">
      <alignment horizontal="right" vertical="top"/>
    </xf>
    <xf numFmtId="41" fontId="14" fillId="9" borderId="3" xfId="13" applyNumberFormat="1" applyFont="1" applyFill="1" applyBorder="1" applyAlignment="1">
      <alignment vertical="top"/>
    </xf>
    <xf numFmtId="0" fontId="22" fillId="0" borderId="2" xfId="0" applyFont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/>
    </xf>
    <xf numFmtId="41" fontId="16" fillId="0" borderId="3" xfId="0" applyNumberFormat="1" applyFont="1" applyFill="1" applyBorder="1" applyAlignment="1">
      <alignment horizontal="center" vertical="center"/>
    </xf>
    <xf numFmtId="41" fontId="22" fillId="11" borderId="9" xfId="0" applyNumberFormat="1" applyFont="1" applyFill="1" applyBorder="1" applyAlignment="1">
      <alignment horizontal="right" vertical="top"/>
    </xf>
    <xf numFmtId="0" fontId="22" fillId="11" borderId="9" xfId="0" applyFont="1" applyFill="1" applyBorder="1" applyAlignment="1">
      <alignment vertical="top" wrapText="1"/>
    </xf>
    <xf numFmtId="0" fontId="22" fillId="11" borderId="1" xfId="0" applyFont="1" applyFill="1" applyBorder="1"/>
    <xf numFmtId="0" fontId="22" fillId="11" borderId="11" xfId="0" applyFont="1" applyFill="1" applyBorder="1"/>
    <xf numFmtId="0" fontId="5" fillId="11" borderId="0" xfId="0" applyFont="1" applyFill="1"/>
    <xf numFmtId="0" fontId="14" fillId="11" borderId="1" xfId="0" applyFont="1" applyFill="1" applyBorder="1"/>
    <xf numFmtId="0" fontId="14" fillId="11" borderId="11" xfId="0" applyFont="1" applyFill="1" applyBorder="1"/>
    <xf numFmtId="41" fontId="14" fillId="11" borderId="3" xfId="0" applyNumberFormat="1" applyFont="1" applyFill="1" applyBorder="1" applyAlignment="1">
      <alignment horizontal="right" vertical="top"/>
    </xf>
    <xf numFmtId="0" fontId="6" fillId="11" borderId="3" xfId="0" applyFont="1" applyFill="1" applyBorder="1" applyAlignment="1">
      <alignment horizontal="center" vertical="center" wrapText="1"/>
    </xf>
    <xf numFmtId="0" fontId="4" fillId="11" borderId="0" xfId="0" applyFont="1" applyFill="1"/>
    <xf numFmtId="0" fontId="22" fillId="11" borderId="8" xfId="0" applyFont="1" applyFill="1" applyBorder="1"/>
    <xf numFmtId="0" fontId="22" fillId="11" borderId="14" xfId="0" applyFont="1" applyFill="1" applyBorder="1"/>
    <xf numFmtId="41" fontId="22" fillId="11" borderId="3" xfId="0" applyNumberFormat="1" applyFont="1" applyFill="1" applyBorder="1" applyAlignment="1">
      <alignment vertical="top"/>
    </xf>
    <xf numFmtId="0" fontId="15" fillId="11" borderId="3" xfId="0" applyFont="1" applyFill="1" applyBorder="1" applyAlignment="1">
      <alignment horizontal="center" vertical="center" wrapText="1"/>
    </xf>
    <xf numFmtId="41" fontId="22" fillId="11" borderId="3" xfId="0" applyNumberFormat="1" applyFont="1" applyFill="1" applyBorder="1" applyAlignment="1">
      <alignment horizontal="right" vertical="top"/>
    </xf>
    <xf numFmtId="43" fontId="22" fillId="11" borderId="3" xfId="13" applyFont="1" applyFill="1" applyBorder="1" applyAlignment="1">
      <alignment horizontal="right" vertical="top"/>
    </xf>
    <xf numFmtId="0" fontId="15" fillId="11" borderId="9" xfId="0" applyFont="1" applyFill="1" applyBorder="1" applyAlignment="1">
      <alignment horizontal="center" vertical="center" wrapText="1"/>
    </xf>
    <xf numFmtId="41" fontId="22" fillId="11" borderId="5" xfId="0" applyNumberFormat="1" applyFont="1" applyFill="1" applyBorder="1" applyAlignment="1">
      <alignment vertical="top"/>
    </xf>
    <xf numFmtId="43" fontId="22" fillId="11" borderId="5" xfId="13" applyFont="1" applyFill="1" applyBorder="1" applyAlignment="1">
      <alignment vertical="top"/>
    </xf>
    <xf numFmtId="0" fontId="15" fillId="11" borderId="5" xfId="0" applyFont="1" applyFill="1" applyBorder="1" applyAlignment="1">
      <alignment horizontal="center" vertical="center" wrapText="1"/>
    </xf>
    <xf numFmtId="41" fontId="22" fillId="11" borderId="2" xfId="0" applyNumberFormat="1" applyFont="1" applyFill="1" applyBorder="1" applyAlignment="1">
      <alignment horizontal="right" vertical="top"/>
    </xf>
    <xf numFmtId="0" fontId="5" fillId="11" borderId="0" xfId="0" applyFont="1" applyFill="1" applyAlignment="1"/>
    <xf numFmtId="0" fontId="22" fillId="11" borderId="8" xfId="0" applyFont="1" applyFill="1" applyBorder="1" applyAlignment="1"/>
    <xf numFmtId="0" fontId="22" fillId="11" borderId="14" xfId="0" applyFont="1" applyFill="1" applyBorder="1" applyAlignment="1"/>
    <xf numFmtId="41" fontId="14" fillId="11" borderId="3" xfId="0" applyNumberFormat="1" applyFont="1" applyFill="1" applyBorder="1" applyAlignment="1">
      <alignment vertical="top"/>
    </xf>
    <xf numFmtId="41" fontId="22" fillId="0" borderId="9" xfId="0" applyNumberFormat="1" applyFont="1" applyFill="1" applyBorder="1" applyAlignment="1">
      <alignment vertical="top"/>
    </xf>
    <xf numFmtId="41" fontId="22" fillId="3" borderId="9" xfId="0" applyNumberFormat="1" applyFont="1" applyFill="1" applyBorder="1" applyAlignment="1">
      <alignment vertical="top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1" fontId="22" fillId="11" borderId="5" xfId="0" applyNumberFormat="1" applyFont="1" applyFill="1" applyBorder="1" applyAlignment="1">
      <alignment horizontal="right" vertical="top"/>
    </xf>
    <xf numFmtId="0" fontId="22" fillId="11" borderId="11" xfId="0" applyFont="1" applyFill="1" applyBorder="1" applyAlignment="1">
      <alignment vertical="top"/>
    </xf>
    <xf numFmtId="0" fontId="22" fillId="11" borderId="2" xfId="0" applyFont="1" applyFill="1" applyBorder="1" applyAlignment="1">
      <alignment vertical="top"/>
    </xf>
    <xf numFmtId="43" fontId="14" fillId="4" borderId="2" xfId="13" applyFont="1" applyFill="1" applyBorder="1" applyAlignment="1">
      <alignment horizontal="right" vertical="top"/>
    </xf>
    <xf numFmtId="0" fontId="15" fillId="11" borderId="3" xfId="0" applyFont="1" applyFill="1" applyBorder="1" applyAlignment="1">
      <alignment horizontal="center" vertical="center"/>
    </xf>
    <xf numFmtId="0" fontId="22" fillId="11" borderId="12" xfId="0" applyFont="1" applyFill="1" applyBorder="1"/>
    <xf numFmtId="0" fontId="22" fillId="11" borderId="10" xfId="0" applyFont="1" applyFill="1" applyBorder="1"/>
    <xf numFmtId="0" fontId="22" fillId="11" borderId="4" xfId="0" applyFont="1" applyFill="1" applyBorder="1" applyAlignment="1">
      <alignment horizontal="left" vertical="top" wrapText="1"/>
    </xf>
    <xf numFmtId="41" fontId="22" fillId="11" borderId="2" xfId="13" applyNumberFormat="1" applyFont="1" applyFill="1" applyBorder="1" applyAlignment="1">
      <alignment vertical="top"/>
    </xf>
    <xf numFmtId="41" fontId="22" fillId="11" borderId="9" xfId="13" applyNumberFormat="1" applyFont="1" applyFill="1" applyBorder="1" applyAlignment="1">
      <alignment vertical="top"/>
    </xf>
    <xf numFmtId="41" fontId="22" fillId="11" borderId="3" xfId="13" applyNumberFormat="1" applyFont="1" applyFill="1" applyBorder="1" applyAlignment="1">
      <alignment vertical="top"/>
    </xf>
    <xf numFmtId="43" fontId="22" fillId="11" borderId="9" xfId="13" applyFont="1" applyFill="1" applyBorder="1" applyAlignment="1">
      <alignment horizontal="right" vertical="top"/>
    </xf>
    <xf numFmtId="41" fontId="22" fillId="11" borderId="3" xfId="13" applyNumberFormat="1" applyFont="1" applyFill="1" applyBorder="1" applyAlignment="1">
      <alignment horizontal="right" vertical="top"/>
    </xf>
    <xf numFmtId="0" fontId="22" fillId="3" borderId="8" xfId="0" applyFont="1" applyFill="1" applyBorder="1"/>
    <xf numFmtId="0" fontId="22" fillId="3" borderId="14" xfId="0" applyFont="1" applyFill="1" applyBorder="1"/>
    <xf numFmtId="0" fontId="22" fillId="3" borderId="15" xfId="0" applyFont="1" applyFill="1" applyBorder="1" applyAlignment="1">
      <alignment horizontal="left" vertical="top" wrapText="1"/>
    </xf>
    <xf numFmtId="41" fontId="22" fillId="3" borderId="2" xfId="13" applyNumberFormat="1" applyFont="1" applyFill="1" applyBorder="1" applyAlignment="1">
      <alignment horizontal="right" vertical="top"/>
    </xf>
    <xf numFmtId="0" fontId="15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22" fillId="3" borderId="8" xfId="0" applyFont="1" applyFill="1" applyBorder="1" applyAlignment="1"/>
    <xf numFmtId="0" fontId="22" fillId="3" borderId="14" xfId="0" applyFont="1" applyFill="1" applyBorder="1" applyAlignment="1"/>
    <xf numFmtId="0" fontId="5" fillId="3" borderId="0" xfId="0" applyFont="1" applyFill="1" applyAlignment="1"/>
    <xf numFmtId="0" fontId="15" fillId="3" borderId="3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wrapText="1"/>
    </xf>
    <xf numFmtId="0" fontId="22" fillId="3" borderId="14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41" fontId="22" fillId="3" borderId="3" xfId="0" applyNumberFormat="1" applyFont="1" applyFill="1" applyBorder="1"/>
    <xf numFmtId="0" fontId="22" fillId="3" borderId="1" xfId="0" applyFont="1" applyFill="1" applyBorder="1"/>
    <xf numFmtId="0" fontId="22" fillId="3" borderId="11" xfId="0" applyFont="1" applyFill="1" applyBorder="1"/>
    <xf numFmtId="0" fontId="22" fillId="3" borderId="2" xfId="0" applyFont="1" applyFill="1" applyBorder="1" applyAlignment="1">
      <alignment horizontal="left" vertical="top" wrapText="1"/>
    </xf>
    <xf numFmtId="41" fontId="22" fillId="4" borderId="9" xfId="13" applyNumberFormat="1" applyFont="1" applyFill="1" applyBorder="1" applyAlignment="1">
      <alignment vertical="top"/>
    </xf>
    <xf numFmtId="0" fontId="15" fillId="4" borderId="9" xfId="0" applyFont="1" applyFill="1" applyBorder="1" applyAlignment="1">
      <alignment horizontal="center" vertical="center" wrapText="1"/>
    </xf>
    <xf numFmtId="0" fontId="5" fillId="4" borderId="0" xfId="0" applyFont="1" applyFill="1"/>
    <xf numFmtId="41" fontId="22" fillId="4" borderId="2" xfId="13" applyNumberFormat="1" applyFont="1" applyFill="1" applyBorder="1" applyAlignment="1">
      <alignment vertical="top"/>
    </xf>
    <xf numFmtId="41" fontId="22" fillId="4" borderId="3" xfId="0" applyNumberFormat="1" applyFont="1" applyFill="1" applyBorder="1" applyAlignment="1">
      <alignment vertical="top"/>
    </xf>
    <xf numFmtId="0" fontId="15" fillId="4" borderId="3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41" fontId="22" fillId="4" borderId="3" xfId="13" applyNumberFormat="1" applyFont="1" applyFill="1" applyBorder="1" applyAlignment="1">
      <alignment vertical="top"/>
    </xf>
    <xf numFmtId="43" fontId="37" fillId="3" borderId="3" xfId="13" applyFont="1" applyFill="1" applyBorder="1" applyAlignment="1">
      <alignment vertical="center" wrapText="1"/>
    </xf>
    <xf numFmtId="41" fontId="22" fillId="3" borderId="2" xfId="0" applyNumberFormat="1" applyFont="1" applyFill="1" applyBorder="1"/>
    <xf numFmtId="41" fontId="17" fillId="0" borderId="0" xfId="0" applyNumberFormat="1" applyFont="1"/>
    <xf numFmtId="41" fontId="15" fillId="4" borderId="3" xfId="0" applyNumberFormat="1" applyFont="1" applyFill="1" applyBorder="1" applyAlignment="1">
      <alignment horizontal="center" vertical="center" wrapText="1"/>
    </xf>
    <xf numFmtId="41" fontId="15" fillId="4" borderId="3" xfId="0" applyNumberFormat="1" applyFont="1" applyFill="1" applyBorder="1" applyAlignment="1">
      <alignment horizontal="center" vertical="center"/>
    </xf>
    <xf numFmtId="41" fontId="15" fillId="0" borderId="3" xfId="0" applyNumberFormat="1" applyFont="1" applyFill="1" applyBorder="1" applyAlignment="1">
      <alignment horizontal="center" vertical="center" wrapText="1"/>
    </xf>
    <xf numFmtId="41" fontId="15" fillId="11" borderId="2" xfId="13" applyNumberFormat="1" applyFont="1" applyFill="1" applyBorder="1" applyAlignment="1">
      <alignment horizontal="center" vertical="center" wrapText="1"/>
    </xf>
    <xf numFmtId="41" fontId="15" fillId="0" borderId="3" xfId="0" applyNumberFormat="1" applyFont="1" applyFill="1" applyBorder="1" applyAlignment="1">
      <alignment horizontal="center" vertical="center"/>
    </xf>
    <xf numFmtId="41" fontId="22" fillId="0" borderId="3" xfId="0" applyNumberFormat="1" applyFont="1" applyFill="1" applyBorder="1" applyAlignment="1">
      <alignment horizontal="center" vertical="center"/>
    </xf>
    <xf numFmtId="41" fontId="15" fillId="0" borderId="2" xfId="0" applyNumberFormat="1" applyFont="1" applyBorder="1" applyAlignment="1">
      <alignment horizontal="center" vertical="center" wrapText="1"/>
    </xf>
    <xf numFmtId="41" fontId="15" fillId="11" borderId="3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 wrapText="1"/>
    </xf>
    <xf numFmtId="41" fontId="15" fillId="4" borderId="3" xfId="13" applyNumberFormat="1" applyFont="1" applyFill="1" applyBorder="1" applyAlignment="1">
      <alignment horizontal="center" vertical="center" wrapText="1"/>
    </xf>
    <xf numFmtId="0" fontId="14" fillId="11" borderId="8" xfId="0" applyFont="1" applyFill="1" applyBorder="1"/>
    <xf numFmtId="0" fontId="14" fillId="11" borderId="14" xfId="0" applyFont="1" applyFill="1" applyBorder="1"/>
    <xf numFmtId="43" fontId="14" fillId="11" borderId="3" xfId="13" applyFont="1" applyFill="1" applyBorder="1" applyAlignment="1">
      <alignment horizontal="right" vertical="top"/>
    </xf>
    <xf numFmtId="41" fontId="14" fillId="11" borderId="4" xfId="0" applyNumberFormat="1" applyFont="1" applyFill="1" applyBorder="1" applyAlignment="1">
      <alignment horizontal="right" vertical="top"/>
    </xf>
    <xf numFmtId="0" fontId="6" fillId="11" borderId="9" xfId="0" applyFont="1" applyFill="1" applyBorder="1" applyAlignment="1">
      <alignment horizontal="center" vertical="center" wrapText="1"/>
    </xf>
    <xf numFmtId="0" fontId="4" fillId="3" borderId="0" xfId="0" applyFont="1" applyFill="1"/>
    <xf numFmtId="43" fontId="22" fillId="0" borderId="2" xfId="13" applyFont="1" applyBorder="1" applyAlignment="1">
      <alignment horizontal="right" vertical="top"/>
    </xf>
    <xf numFmtId="43" fontId="22" fillId="3" borderId="2" xfId="13" applyFont="1" applyFill="1" applyBorder="1" applyAlignment="1">
      <alignment horizontal="right" vertical="top"/>
    </xf>
    <xf numFmtId="0" fontId="22" fillId="0" borderId="11" xfId="0" applyFont="1" applyFill="1" applyBorder="1" applyAlignment="1">
      <alignment horizontal="left" vertical="top" wrapText="1"/>
    </xf>
    <xf numFmtId="41" fontId="22" fillId="0" borderId="2" xfId="0" applyNumberFormat="1" applyFont="1" applyFill="1" applyBorder="1" applyAlignment="1">
      <alignment vertical="top"/>
    </xf>
    <xf numFmtId="0" fontId="22" fillId="0" borderId="10" xfId="0" applyFont="1" applyFill="1" applyBorder="1" applyAlignment="1">
      <alignment horizontal="left" vertical="top" wrapText="1"/>
    </xf>
    <xf numFmtId="0" fontId="14" fillId="11" borderId="0" xfId="0" applyFont="1" applyFill="1"/>
    <xf numFmtId="2" fontId="15" fillId="0" borderId="0" xfId="0" applyNumberFormat="1" applyFont="1" applyFill="1"/>
    <xf numFmtId="41" fontId="5" fillId="0" borderId="3" xfId="13" applyNumberFormat="1" applyFont="1" applyFill="1" applyBorder="1" applyAlignment="1">
      <alignment horizontal="center" vertical="center" wrapText="1"/>
    </xf>
    <xf numFmtId="41" fontId="5" fillId="11" borderId="3" xfId="13" applyNumberFormat="1" applyFont="1" applyFill="1" applyBorder="1" applyAlignment="1">
      <alignment horizontal="center" vertical="center" wrapText="1"/>
    </xf>
    <xf numFmtId="41" fontId="5" fillId="3" borderId="3" xfId="13" applyNumberFormat="1" applyFont="1" applyFill="1" applyBorder="1" applyAlignment="1">
      <alignment horizontal="center" vertical="center" wrapText="1"/>
    </xf>
    <xf numFmtId="41" fontId="5" fillId="0" borderId="0" xfId="0" applyNumberFormat="1" applyFont="1" applyFill="1" applyAlignment="1"/>
    <xf numFmtId="2" fontId="5" fillId="0" borderId="0" xfId="0" applyNumberFormat="1" applyFont="1" applyFill="1"/>
    <xf numFmtId="2" fontId="5" fillId="0" borderId="0" xfId="0" applyNumberFormat="1" applyFont="1" applyFill="1" applyAlignment="1"/>
    <xf numFmtId="43" fontId="22" fillId="0" borderId="3" xfId="13" applyFont="1" applyFill="1" applyBorder="1" applyAlignment="1">
      <alignment horizontal="center" vertical="top"/>
    </xf>
    <xf numFmtId="43" fontId="14" fillId="10" borderId="9" xfId="13" applyFont="1" applyFill="1" applyBorder="1" applyAlignment="1">
      <alignment horizontal="right" vertical="top"/>
    </xf>
    <xf numFmtId="43" fontId="14" fillId="9" borderId="9" xfId="13" applyFont="1" applyFill="1" applyBorder="1" applyAlignment="1" applyProtection="1">
      <alignment horizontal="center" vertical="top"/>
      <protection locked="0"/>
    </xf>
    <xf numFmtId="0" fontId="5" fillId="12" borderId="0" xfId="0" applyFont="1" applyFill="1"/>
    <xf numFmtId="41" fontId="5" fillId="12" borderId="0" xfId="0" applyNumberFormat="1" applyFont="1" applyFill="1"/>
    <xf numFmtId="41" fontId="5" fillId="13" borderId="0" xfId="0" applyNumberFormat="1" applyFont="1" applyFill="1"/>
    <xf numFmtId="43" fontId="22" fillId="4" borderId="9" xfId="13" applyFont="1" applyFill="1" applyBorder="1" applyAlignment="1">
      <alignment vertical="top"/>
    </xf>
    <xf numFmtId="43" fontId="14" fillId="10" borderId="3" xfId="13" applyFont="1" applyFill="1" applyBorder="1" applyAlignment="1">
      <alignment vertical="top" wrapText="1"/>
    </xf>
    <xf numFmtId="43" fontId="14" fillId="0" borderId="0" xfId="13" applyFont="1" applyFill="1"/>
    <xf numFmtId="43" fontId="5" fillId="0" borderId="0" xfId="13" applyFont="1" applyFill="1"/>
    <xf numFmtId="41" fontId="16" fillId="11" borderId="2" xfId="13" applyNumberFormat="1" applyFont="1" applyFill="1" applyBorder="1" applyAlignment="1">
      <alignment horizontal="center" vertical="center" wrapText="1"/>
    </xf>
    <xf numFmtId="41" fontId="16" fillId="0" borderId="3" xfId="13" applyNumberFormat="1" applyFont="1" applyFill="1" applyBorder="1" applyAlignment="1">
      <alignment horizontal="center" vertical="center" wrapText="1"/>
    </xf>
    <xf numFmtId="41" fontId="16" fillId="11" borderId="3" xfId="13" applyNumberFormat="1" applyFont="1" applyFill="1" applyBorder="1" applyAlignment="1">
      <alignment horizontal="center" vertical="center" wrapText="1"/>
    </xf>
    <xf numFmtId="41" fontId="16" fillId="0" borderId="3" xfId="0" applyNumberFormat="1" applyFont="1" applyFill="1" applyBorder="1" applyAlignment="1">
      <alignment horizontal="center" vertical="center" wrapText="1"/>
    </xf>
    <xf numFmtId="41" fontId="16" fillId="4" borderId="3" xfId="0" applyNumberFormat="1" applyFont="1" applyFill="1" applyBorder="1" applyAlignment="1">
      <alignment horizontal="center" vertical="center" wrapText="1"/>
    </xf>
    <xf numFmtId="41" fontId="14" fillId="9" borderId="9" xfId="0" applyNumberFormat="1" applyFont="1" applyFill="1" applyBorder="1" applyAlignment="1" applyProtection="1">
      <alignment horizontal="center" vertical="center"/>
      <protection locked="0"/>
    </xf>
    <xf numFmtId="41" fontId="22" fillId="0" borderId="3" xfId="13" applyNumberFormat="1" applyFont="1" applyFill="1" applyBorder="1" applyAlignment="1">
      <alignment horizontal="center" vertical="center"/>
    </xf>
    <xf numFmtId="41" fontId="15" fillId="0" borderId="3" xfId="13" applyNumberFormat="1" applyFont="1" applyFill="1" applyBorder="1" applyAlignment="1">
      <alignment horizontal="center" vertical="center" wrapText="1"/>
    </xf>
    <xf numFmtId="41" fontId="5" fillId="4" borderId="3" xfId="13" applyNumberFormat="1" applyFont="1" applyFill="1" applyBorder="1" applyAlignment="1">
      <alignment horizontal="center" vertical="center" wrapText="1"/>
    </xf>
    <xf numFmtId="41" fontId="14" fillId="2" borderId="3" xfId="13" applyNumberFormat="1" applyFont="1" applyFill="1" applyBorder="1" applyAlignment="1">
      <alignment horizontal="center" vertical="center"/>
    </xf>
    <xf numFmtId="41" fontId="14" fillId="10" borderId="9" xfId="13" applyNumberFormat="1" applyFont="1" applyFill="1" applyBorder="1" applyAlignment="1">
      <alignment horizontal="center" vertical="center"/>
    </xf>
    <xf numFmtId="41" fontId="14" fillId="4" borderId="2" xfId="0" applyNumberFormat="1" applyFont="1" applyFill="1" applyBorder="1" applyAlignment="1">
      <alignment horizontal="center" vertical="center"/>
    </xf>
    <xf numFmtId="41" fontId="22" fillId="11" borderId="9" xfId="0" applyNumberFormat="1" applyFont="1" applyFill="1" applyBorder="1" applyAlignment="1">
      <alignment horizontal="center" vertical="center"/>
    </xf>
    <xf numFmtId="41" fontId="14" fillId="11" borderId="3" xfId="0" applyNumberFormat="1" applyFont="1" applyFill="1" applyBorder="1" applyAlignment="1">
      <alignment horizontal="center" vertical="center"/>
    </xf>
    <xf numFmtId="41" fontId="4" fillId="11" borderId="3" xfId="0" applyNumberFormat="1" applyFont="1" applyFill="1" applyBorder="1" applyAlignment="1">
      <alignment horizontal="center" vertical="center"/>
    </xf>
    <xf numFmtId="41" fontId="14" fillId="10" borderId="3" xfId="13" applyNumberFormat="1" applyFont="1" applyFill="1" applyBorder="1" applyAlignment="1">
      <alignment horizontal="center" vertical="center"/>
    </xf>
    <xf numFmtId="41" fontId="14" fillId="4" borderId="3" xfId="0" applyNumberFormat="1" applyFont="1" applyFill="1" applyBorder="1" applyAlignment="1">
      <alignment horizontal="center" vertical="center"/>
    </xf>
    <xf numFmtId="41" fontId="22" fillId="0" borderId="4" xfId="0" applyNumberFormat="1" applyFont="1" applyFill="1" applyBorder="1" applyAlignment="1">
      <alignment horizontal="center" vertical="center"/>
    </xf>
    <xf numFmtId="41" fontId="14" fillId="11" borderId="4" xfId="0" applyNumberFormat="1" applyFont="1" applyFill="1" applyBorder="1" applyAlignment="1">
      <alignment horizontal="center" vertical="center"/>
    </xf>
    <xf numFmtId="41" fontId="14" fillId="4" borderId="9" xfId="0" applyNumberFormat="1" applyFont="1" applyFill="1" applyBorder="1" applyAlignment="1">
      <alignment horizontal="center" vertical="center"/>
    </xf>
    <xf numFmtId="41" fontId="22" fillId="11" borderId="5" xfId="0" applyNumberFormat="1" applyFont="1" applyFill="1" applyBorder="1" applyAlignment="1">
      <alignment horizontal="center" vertical="center"/>
    </xf>
    <xf numFmtId="41" fontId="22" fillId="11" borderId="2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11" borderId="3" xfId="0" applyNumberFormat="1" applyFont="1" applyFill="1" applyBorder="1" applyAlignment="1">
      <alignment horizontal="center" vertical="center"/>
    </xf>
    <xf numFmtId="41" fontId="14" fillId="10" borderId="3" xfId="0" applyNumberFormat="1" applyFont="1" applyFill="1" applyBorder="1" applyAlignment="1">
      <alignment horizontal="center" vertical="center" wrapText="1"/>
    </xf>
    <xf numFmtId="41" fontId="22" fillId="4" borderId="9" xfId="13" applyNumberFormat="1" applyFont="1" applyFill="1" applyBorder="1" applyAlignment="1">
      <alignment horizontal="center" vertical="center"/>
    </xf>
    <xf numFmtId="41" fontId="22" fillId="4" borderId="3" xfId="0" applyNumberFormat="1" applyFont="1" applyFill="1" applyBorder="1" applyAlignment="1">
      <alignment horizontal="center" vertical="center"/>
    </xf>
    <xf numFmtId="41" fontId="14" fillId="2" borderId="3" xfId="0" applyNumberFormat="1" applyFont="1" applyFill="1" applyBorder="1" applyAlignment="1">
      <alignment horizontal="center" vertical="center"/>
    </xf>
    <xf numFmtId="41" fontId="22" fillId="0" borderId="2" xfId="0" applyNumberFormat="1" applyFont="1" applyBorder="1" applyAlignment="1">
      <alignment horizontal="center" vertical="center"/>
    </xf>
    <xf numFmtId="41" fontId="22" fillId="0" borderId="3" xfId="0" applyNumberFormat="1" applyFont="1" applyBorder="1" applyAlignment="1">
      <alignment horizontal="center" vertical="center"/>
    </xf>
    <xf numFmtId="41" fontId="22" fillId="3" borderId="2" xfId="0" applyNumberFormat="1" applyFont="1" applyFill="1" applyBorder="1" applyAlignment="1">
      <alignment horizontal="center" vertical="center"/>
    </xf>
    <xf numFmtId="41" fontId="22" fillId="3" borderId="3" xfId="0" applyNumberFormat="1" applyFont="1" applyFill="1" applyBorder="1" applyAlignment="1">
      <alignment horizontal="center" vertical="center" wrapText="1"/>
    </xf>
    <xf numFmtId="41" fontId="22" fillId="3" borderId="3" xfId="0" applyNumberFormat="1" applyFont="1" applyFill="1" applyBorder="1" applyAlignment="1">
      <alignment horizontal="center" vertical="center"/>
    </xf>
    <xf numFmtId="41" fontId="22" fillId="11" borderId="3" xfId="13" applyNumberFormat="1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horizontal="center" vertical="center"/>
    </xf>
    <xf numFmtId="41" fontId="16" fillId="3" borderId="3" xfId="0" applyNumberFormat="1" applyFont="1" applyFill="1" applyBorder="1" applyAlignment="1">
      <alignment horizontal="center" vertical="top" wrapText="1"/>
    </xf>
    <xf numFmtId="3" fontId="28" fillId="3" borderId="3" xfId="1" applyNumberFormat="1" applyFont="1" applyFill="1" applyBorder="1" applyAlignment="1">
      <alignment horizontal="center" vertical="top"/>
    </xf>
    <xf numFmtId="3" fontId="28" fillId="3" borderId="3" xfId="1" applyNumberFormat="1" applyFont="1" applyFill="1" applyBorder="1" applyAlignment="1">
      <alignment horizontal="center" vertical="top" wrapText="1"/>
    </xf>
    <xf numFmtId="49" fontId="28" fillId="3" borderId="3" xfId="0" applyNumberFormat="1" applyFont="1" applyFill="1" applyBorder="1" applyAlignment="1">
      <alignment horizontal="center" vertical="top" wrapText="1"/>
    </xf>
    <xf numFmtId="41" fontId="28" fillId="3" borderId="3" xfId="0" applyNumberFormat="1" applyFont="1" applyFill="1" applyBorder="1" applyAlignment="1">
      <alignment horizontal="center" vertical="top" wrapText="1"/>
    </xf>
    <xf numFmtId="0" fontId="28" fillId="3" borderId="3" xfId="0" applyFont="1" applyFill="1" applyBorder="1" applyAlignment="1">
      <alignment horizontal="center" vertical="top" wrapText="1"/>
    </xf>
    <xf numFmtId="187" fontId="16" fillId="3" borderId="3" xfId="2" applyNumberFormat="1" applyFont="1" applyFill="1" applyBorder="1" applyAlignment="1">
      <alignment horizontal="center" vertical="top" wrapText="1"/>
    </xf>
    <xf numFmtId="188" fontId="28" fillId="3" borderId="3" xfId="1" applyNumberFormat="1" applyFont="1" applyFill="1" applyBorder="1" applyAlignment="1">
      <alignment horizontal="center" vertical="top" wrapText="1"/>
    </xf>
    <xf numFmtId="41" fontId="28" fillId="3" borderId="3" xfId="0" applyNumberFormat="1" applyFont="1" applyFill="1" applyBorder="1" applyAlignment="1">
      <alignment horizontal="right" vertical="top" wrapText="1"/>
    </xf>
    <xf numFmtId="41" fontId="28" fillId="6" borderId="3" xfId="0" applyNumberFormat="1" applyFont="1" applyFill="1" applyBorder="1" applyAlignment="1">
      <alignment horizontal="right" vertical="top" wrapText="1"/>
    </xf>
    <xf numFmtId="43" fontId="22" fillId="11" borderId="3" xfId="13" applyFont="1" applyFill="1" applyBorder="1" applyAlignment="1">
      <alignment vertical="top"/>
    </xf>
    <xf numFmtId="41" fontId="15" fillId="11" borderId="2" xfId="0" applyNumberFormat="1" applyFont="1" applyFill="1" applyBorder="1" applyAlignment="1">
      <alignment horizontal="center" vertical="center" wrapText="1"/>
    </xf>
    <xf numFmtId="41" fontId="15" fillId="3" borderId="2" xfId="13" applyNumberFormat="1" applyFont="1" applyFill="1" applyBorder="1" applyAlignment="1">
      <alignment horizontal="center" vertical="center" wrapText="1"/>
    </xf>
    <xf numFmtId="41" fontId="22" fillId="0" borderId="3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41" fontId="10" fillId="0" borderId="5" xfId="0" applyNumberFormat="1" applyFont="1" applyBorder="1" applyAlignment="1">
      <alignment horizontal="center" vertical="top"/>
    </xf>
    <xf numFmtId="43" fontId="22" fillId="3" borderId="3" xfId="13" applyFont="1" applyFill="1" applyBorder="1"/>
    <xf numFmtId="43" fontId="0" fillId="3" borderId="0" xfId="0" applyNumberFormat="1" applyFill="1"/>
    <xf numFmtId="2" fontId="0" fillId="3" borderId="0" xfId="0" applyNumberFormat="1" applyFill="1"/>
    <xf numFmtId="43" fontId="14" fillId="0" borderId="3" xfId="13" applyFont="1" applyFill="1" applyBorder="1" applyAlignment="1">
      <alignment horizontal="right" vertical="top"/>
    </xf>
    <xf numFmtId="41" fontId="10" fillId="0" borderId="3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10" fillId="0" borderId="0" xfId="0" applyFont="1"/>
    <xf numFmtId="0" fontId="38" fillId="0" borderId="3" xfId="0" applyFont="1" applyBorder="1" applyAlignment="1">
      <alignment wrapText="1"/>
    </xf>
    <xf numFmtId="41" fontId="23" fillId="0" borderId="0" xfId="0" applyNumberFormat="1" applyFont="1"/>
    <xf numFmtId="41" fontId="11" fillId="0" borderId="3" xfId="0" applyNumberFormat="1" applyFont="1" applyBorder="1"/>
    <xf numFmtId="0" fontId="11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39" fillId="0" borderId="0" xfId="0" applyFont="1" applyAlignment="1">
      <alignment horizontal="left" vertical="center" wrapText="1"/>
    </xf>
    <xf numFmtId="41" fontId="31" fillId="0" borderId="0" xfId="0" applyNumberFormat="1" applyFont="1"/>
    <xf numFmtId="0" fontId="39" fillId="0" borderId="3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wrapText="1"/>
    </xf>
    <xf numFmtId="0" fontId="38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41" fontId="10" fillId="0" borderId="3" xfId="0" applyNumberFormat="1" applyFont="1" applyBorder="1" applyAlignment="1">
      <alignment horizontal="center" vertical="center" wrapText="1"/>
    </xf>
    <xf numFmtId="43" fontId="10" fillId="0" borderId="3" xfId="13" applyFont="1" applyBorder="1"/>
    <xf numFmtId="43" fontId="10" fillId="0" borderId="3" xfId="13" applyFont="1" applyBorder="1" applyAlignment="1">
      <alignment vertical="top"/>
    </xf>
    <xf numFmtId="43" fontId="11" fillId="0" borderId="3" xfId="13" applyFont="1" applyBorder="1"/>
    <xf numFmtId="43" fontId="10" fillId="0" borderId="5" xfId="13" applyFont="1" applyBorder="1"/>
    <xf numFmtId="43" fontId="10" fillId="0" borderId="15" xfId="13" applyFont="1" applyBorder="1"/>
    <xf numFmtId="41" fontId="14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0" fontId="14" fillId="11" borderId="15" xfId="0" applyFont="1" applyFill="1" applyBorder="1" applyAlignment="1">
      <alignment horizontal="left" vertical="top" wrapText="1"/>
    </xf>
    <xf numFmtId="0" fontId="22" fillId="11" borderId="14" xfId="0" applyFont="1" applyFill="1" applyBorder="1" applyAlignment="1">
      <alignment horizontal="left" vertical="top" wrapText="1"/>
    </xf>
    <xf numFmtId="0" fontId="22" fillId="11" borderId="15" xfId="0" applyFont="1" applyFill="1" applyBorder="1" applyAlignment="1">
      <alignment horizontal="left" vertical="top" wrapText="1"/>
    </xf>
    <xf numFmtId="41" fontId="4" fillId="2" borderId="3" xfId="13" applyNumberFormat="1" applyFont="1" applyFill="1" applyBorder="1"/>
    <xf numFmtId="41" fontId="6" fillId="11" borderId="3" xfId="0" applyNumberFormat="1" applyFont="1" applyFill="1" applyBorder="1" applyAlignment="1">
      <alignment horizontal="center" vertical="center" wrapText="1"/>
    </xf>
    <xf numFmtId="41" fontId="6" fillId="10" borderId="3" xfId="13" applyNumberFormat="1" applyFont="1" applyFill="1" applyBorder="1" applyAlignment="1">
      <alignment horizontal="center" vertical="center" wrapText="1"/>
    </xf>
    <xf numFmtId="41" fontId="6" fillId="4" borderId="3" xfId="0" applyNumberFormat="1" applyFont="1" applyFill="1" applyBorder="1" applyAlignment="1">
      <alignment horizontal="center" vertical="center" wrapText="1"/>
    </xf>
    <xf numFmtId="41" fontId="30" fillId="0" borderId="3" xfId="0" applyNumberFormat="1" applyFont="1" applyFill="1" applyBorder="1" applyAlignment="1">
      <alignment horizontal="center" vertical="center" wrapText="1"/>
    </xf>
    <xf numFmtId="41" fontId="30" fillId="0" borderId="4" xfId="0" applyNumberFormat="1" applyFont="1" applyFill="1" applyBorder="1" applyAlignment="1">
      <alignment horizontal="center" vertical="center" wrapText="1"/>
    </xf>
    <xf numFmtId="41" fontId="6" fillId="11" borderId="4" xfId="0" applyNumberFormat="1" applyFont="1" applyFill="1" applyBorder="1" applyAlignment="1">
      <alignment horizontal="center" vertical="center" wrapText="1"/>
    </xf>
    <xf numFmtId="41" fontId="6" fillId="4" borderId="9" xfId="0" applyNumberFormat="1" applyFont="1" applyFill="1" applyBorder="1" applyAlignment="1">
      <alignment horizontal="center" vertical="center" wrapText="1"/>
    </xf>
    <xf numFmtId="41" fontId="6" fillId="4" borderId="2" xfId="0" applyNumberFormat="1" applyFont="1" applyFill="1" applyBorder="1" applyAlignment="1">
      <alignment horizontal="center" vertical="center" wrapText="1"/>
    </xf>
    <xf numFmtId="41" fontId="6" fillId="10" borderId="3" xfId="0" applyNumberFormat="1" applyFont="1" applyFill="1" applyBorder="1" applyAlignment="1">
      <alignment horizontal="center" vertical="center" wrapText="1"/>
    </xf>
    <xf numFmtId="41" fontId="15" fillId="4" borderId="9" xfId="13" applyNumberFormat="1" applyFont="1" applyFill="1" applyBorder="1" applyAlignment="1">
      <alignment horizontal="center" vertical="center" wrapText="1"/>
    </xf>
    <xf numFmtId="41" fontId="15" fillId="11" borderId="3" xfId="13" applyNumberFormat="1" applyFont="1" applyFill="1" applyBorder="1" applyAlignment="1">
      <alignment horizontal="center" vertical="center" wrapText="1"/>
    </xf>
    <xf numFmtId="41" fontId="30" fillId="4" borderId="3" xfId="0" applyNumberFormat="1" applyFont="1" applyFill="1" applyBorder="1" applyAlignment="1">
      <alignment horizontal="center" vertical="center" wrapText="1"/>
    </xf>
    <xf numFmtId="41" fontId="15" fillId="3" borderId="2" xfId="0" applyNumberFormat="1" applyFont="1" applyFill="1" applyBorder="1" applyAlignment="1">
      <alignment horizontal="center" vertical="center" wrapText="1"/>
    </xf>
    <xf numFmtId="41" fontId="30" fillId="0" borderId="2" xfId="0" applyNumberFormat="1" applyFont="1" applyBorder="1" applyAlignment="1">
      <alignment horizontal="center" vertical="center" wrapText="1"/>
    </xf>
    <xf numFmtId="43" fontId="14" fillId="11" borderId="3" xfId="13" applyFont="1" applyFill="1" applyBorder="1" applyAlignment="1">
      <alignment vertical="top"/>
    </xf>
    <xf numFmtId="43" fontId="22" fillId="4" borderId="3" xfId="13" applyFont="1" applyFill="1" applyBorder="1" applyAlignment="1">
      <alignment vertical="top"/>
    </xf>
    <xf numFmtId="41" fontId="15" fillId="3" borderId="3" xfId="13" applyNumberFormat="1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41" fontId="14" fillId="2" borderId="3" xfId="13" applyNumberFormat="1" applyFont="1" applyFill="1" applyBorder="1" applyAlignment="1">
      <alignment vertical="center"/>
    </xf>
    <xf numFmtId="41" fontId="6" fillId="2" borderId="3" xfId="13" applyNumberFormat="1" applyFont="1" applyFill="1" applyBorder="1" applyAlignment="1">
      <alignment vertical="center"/>
    </xf>
    <xf numFmtId="43" fontId="14" fillId="2" borderId="3" xfId="13" applyFont="1" applyFill="1" applyBorder="1" applyAlignment="1">
      <alignment vertical="center"/>
    </xf>
    <xf numFmtId="41" fontId="1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3" fontId="22" fillId="0" borderId="3" xfId="13" applyFont="1" applyFill="1" applyBorder="1" applyAlignment="1">
      <alignment horizontal="center" vertical="center"/>
    </xf>
    <xf numFmtId="41" fontId="22" fillId="0" borderId="3" xfId="0" applyNumberFormat="1" applyFont="1" applyFill="1" applyBorder="1" applyAlignment="1">
      <alignment vertical="center"/>
    </xf>
    <xf numFmtId="41" fontId="15" fillId="0" borderId="3" xfId="0" applyNumberFormat="1" applyFont="1" applyFill="1" applyBorder="1" applyAlignment="1">
      <alignment vertical="center"/>
    </xf>
    <xf numFmtId="41" fontId="14" fillId="0" borderId="3" xfId="0" applyNumberFormat="1" applyFont="1" applyFill="1" applyBorder="1" applyAlignment="1">
      <alignment horizontal="right" vertical="center"/>
    </xf>
    <xf numFmtId="43" fontId="14" fillId="0" borderId="3" xfId="13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22" fillId="0" borderId="3" xfId="0" applyNumberFormat="1" applyFont="1" applyFill="1" applyBorder="1" applyAlignment="1">
      <alignment horizontal="right" vertical="center"/>
    </xf>
    <xf numFmtId="41" fontId="22" fillId="0" borderId="3" xfId="13" applyNumberFormat="1" applyFont="1" applyFill="1" applyBorder="1" applyAlignment="1">
      <alignment horizontal="right" vertical="center"/>
    </xf>
    <xf numFmtId="41" fontId="14" fillId="10" borderId="3" xfId="13" applyNumberFormat="1" applyFont="1" applyFill="1" applyBorder="1" applyAlignment="1">
      <alignment horizontal="right" vertical="center"/>
    </xf>
    <xf numFmtId="41" fontId="6" fillId="10" borderId="3" xfId="13" applyNumberFormat="1" applyFont="1" applyFill="1" applyBorder="1" applyAlignment="1">
      <alignment horizontal="right" vertical="center"/>
    </xf>
    <xf numFmtId="43" fontId="14" fillId="10" borderId="3" xfId="13" applyFont="1" applyFill="1" applyBorder="1" applyAlignment="1">
      <alignment horizontal="right" vertical="center"/>
    </xf>
    <xf numFmtId="41" fontId="14" fillId="4" borderId="3" xfId="0" applyNumberFormat="1" applyFont="1" applyFill="1" applyBorder="1" applyAlignment="1">
      <alignment horizontal="right" vertical="center"/>
    </xf>
    <xf numFmtId="41" fontId="6" fillId="4" borderId="3" xfId="0" applyNumberFormat="1" applyFont="1" applyFill="1" applyBorder="1" applyAlignment="1">
      <alignment horizontal="right" vertical="center"/>
    </xf>
    <xf numFmtId="43" fontId="14" fillId="4" borderId="3" xfId="13" applyFont="1" applyFill="1" applyBorder="1" applyAlignment="1">
      <alignment horizontal="right" vertical="center"/>
    </xf>
    <xf numFmtId="43" fontId="22" fillId="0" borderId="3" xfId="13" applyFont="1" applyFill="1" applyBorder="1" applyAlignment="1">
      <alignment vertical="center"/>
    </xf>
    <xf numFmtId="41" fontId="14" fillId="0" borderId="3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3" fontId="14" fillId="0" borderId="3" xfId="13" applyFont="1" applyFill="1" applyBorder="1" applyAlignment="1">
      <alignment vertical="center"/>
    </xf>
    <xf numFmtId="41" fontId="15" fillId="0" borderId="3" xfId="0" applyNumberFormat="1" applyFont="1" applyFill="1" applyBorder="1" applyAlignment="1">
      <alignment horizontal="right" vertical="center"/>
    </xf>
    <xf numFmtId="41" fontId="14" fillId="10" borderId="3" xfId="0" applyNumberFormat="1" applyFont="1" applyFill="1" applyBorder="1" applyAlignment="1">
      <alignment vertical="center" wrapText="1"/>
    </xf>
    <xf numFmtId="41" fontId="6" fillId="10" borderId="3" xfId="0" applyNumberFormat="1" applyFont="1" applyFill="1" applyBorder="1" applyAlignment="1">
      <alignment vertical="center" wrapText="1"/>
    </xf>
    <xf numFmtId="43" fontId="14" fillId="10" borderId="3" xfId="13" applyFont="1" applyFill="1" applyBorder="1" applyAlignment="1">
      <alignment vertical="center" wrapText="1"/>
    </xf>
    <xf numFmtId="43" fontId="14" fillId="0" borderId="3" xfId="13" applyFont="1" applyFill="1" applyBorder="1" applyAlignment="1">
      <alignment vertical="center" wrapText="1"/>
    </xf>
    <xf numFmtId="41" fontId="22" fillId="0" borderId="3" xfId="13" applyNumberFormat="1" applyFont="1" applyFill="1" applyBorder="1" applyAlignment="1">
      <alignment vertical="center"/>
    </xf>
    <xf numFmtId="41" fontId="14" fillId="10" borderId="3" xfId="13" applyNumberFormat="1" applyFont="1" applyFill="1" applyBorder="1" applyAlignment="1">
      <alignment horizontal="left" vertical="center"/>
    </xf>
    <xf numFmtId="41" fontId="6" fillId="10" borderId="3" xfId="13" applyNumberFormat="1" applyFont="1" applyFill="1" applyBorder="1" applyAlignment="1">
      <alignment horizontal="left" vertical="center"/>
    </xf>
    <xf numFmtId="41" fontId="14" fillId="4" borderId="3" xfId="0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41" fontId="14" fillId="0" borderId="3" xfId="13" applyNumberFormat="1" applyFont="1" applyFill="1" applyBorder="1" applyAlignment="1">
      <alignment horizontal="left" vertical="center"/>
    </xf>
    <xf numFmtId="41" fontId="6" fillId="0" borderId="3" xfId="13" applyNumberFormat="1" applyFont="1" applyFill="1" applyBorder="1" applyAlignment="1">
      <alignment horizontal="left" vertical="center"/>
    </xf>
    <xf numFmtId="0" fontId="22" fillId="10" borderId="3" xfId="0" applyFont="1" applyFill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/>
    </xf>
    <xf numFmtId="41" fontId="22" fillId="0" borderId="3" xfId="0" applyNumberFormat="1" applyFont="1" applyBorder="1" applyAlignment="1">
      <alignment horizontal="right" vertical="center"/>
    </xf>
    <xf numFmtId="41" fontId="15" fillId="0" borderId="3" xfId="0" applyNumberFormat="1" applyFont="1" applyBorder="1" applyAlignment="1">
      <alignment horizontal="right" vertical="center"/>
    </xf>
    <xf numFmtId="41" fontId="22" fillId="0" borderId="3" xfId="0" applyNumberFormat="1" applyFont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6" fillId="4" borderId="3" xfId="0" applyFont="1" applyFill="1" applyBorder="1" applyAlignment="1">
      <alignment horizontal="left" vertical="center"/>
    </xf>
    <xf numFmtId="41" fontId="22" fillId="0" borderId="3" xfId="13" applyNumberFormat="1" applyFont="1" applyBorder="1" applyAlignment="1">
      <alignment horizontal="right" vertical="center"/>
    </xf>
    <xf numFmtId="41" fontId="15" fillId="0" borderId="3" xfId="13" applyNumberFormat="1" applyFont="1" applyBorder="1" applyAlignment="1">
      <alignment horizontal="right" vertical="center"/>
    </xf>
    <xf numFmtId="41" fontId="22" fillId="0" borderId="0" xfId="0" applyNumberFormat="1" applyFont="1" applyFill="1" applyAlignment="1">
      <alignment vertical="center"/>
    </xf>
    <xf numFmtId="43" fontId="14" fillId="0" borderId="3" xfId="13" applyFont="1" applyFill="1" applyBorder="1" applyAlignment="1">
      <alignment horizontal="center" vertical="center" wrapText="1"/>
    </xf>
    <xf numFmtId="43" fontId="22" fillId="0" borderId="3" xfId="13" applyFont="1" applyFill="1" applyBorder="1" applyAlignment="1">
      <alignment horizontal="right" vertical="center"/>
    </xf>
    <xf numFmtId="43" fontId="22" fillId="3" borderId="3" xfId="13" applyFont="1" applyFill="1" applyBorder="1" applyAlignment="1">
      <alignment horizontal="right" vertical="center"/>
    </xf>
    <xf numFmtId="43" fontId="14" fillId="10" borderId="3" xfId="13" applyFont="1" applyFill="1" applyBorder="1" applyAlignment="1">
      <alignment horizontal="left" vertical="center"/>
    </xf>
    <xf numFmtId="43" fontId="14" fillId="4" borderId="3" xfId="13" applyFont="1" applyFill="1" applyBorder="1" applyAlignment="1">
      <alignment horizontal="left" vertical="center"/>
    </xf>
    <xf numFmtId="43" fontId="14" fillId="0" borderId="3" xfId="13" applyFont="1" applyFill="1" applyBorder="1" applyAlignment="1">
      <alignment horizontal="left" vertical="center"/>
    </xf>
    <xf numFmtId="43" fontId="22" fillId="10" borderId="3" xfId="13" applyFont="1" applyFill="1" applyBorder="1" applyAlignment="1">
      <alignment horizontal="left" vertical="center"/>
    </xf>
    <xf numFmtId="43" fontId="22" fillId="0" borderId="3" xfId="13" applyFont="1" applyBorder="1" applyAlignment="1">
      <alignment horizontal="right" vertical="center"/>
    </xf>
    <xf numFmtId="43" fontId="22" fillId="0" borderId="3" xfId="13" applyFont="1" applyBorder="1" applyAlignment="1">
      <alignment horizontal="right" vertical="center" wrapText="1"/>
    </xf>
    <xf numFmtId="43" fontId="22" fillId="0" borderId="0" xfId="13" applyFont="1" applyFill="1" applyAlignment="1">
      <alignment vertical="center"/>
    </xf>
    <xf numFmtId="43" fontId="22" fillId="10" borderId="3" xfId="13" applyFont="1" applyFill="1" applyBorder="1" applyAlignment="1">
      <alignment horizontal="right" vertical="center"/>
    </xf>
    <xf numFmtId="43" fontId="15" fillId="0" borderId="3" xfId="13" applyFont="1" applyFill="1" applyBorder="1" applyAlignment="1">
      <alignment horizontal="center" vertical="center" wrapText="1"/>
    </xf>
    <xf numFmtId="43" fontId="22" fillId="3" borderId="3" xfId="13" applyFont="1" applyFill="1" applyBorder="1" applyAlignment="1">
      <alignment vertical="center"/>
    </xf>
    <xf numFmtId="43" fontId="22" fillId="3" borderId="9" xfId="13" applyFont="1" applyFill="1" applyBorder="1" applyAlignment="1">
      <alignment vertical="center"/>
    </xf>
    <xf numFmtId="41" fontId="15" fillId="3" borderId="3" xfId="13" applyNumberFormat="1" applyFont="1" applyFill="1" applyBorder="1" applyAlignment="1">
      <alignment vertical="center"/>
    </xf>
    <xf numFmtId="41" fontId="15" fillId="3" borderId="3" xfId="0" applyNumberFormat="1" applyFont="1" applyFill="1" applyBorder="1" applyAlignment="1">
      <alignment horizontal="center" vertical="center"/>
    </xf>
    <xf numFmtId="41" fontId="41" fillId="3" borderId="3" xfId="0" applyNumberFormat="1" applyFont="1" applyFill="1" applyBorder="1" applyAlignment="1">
      <alignment horizontal="center" vertical="center" wrapText="1"/>
    </xf>
    <xf numFmtId="41" fontId="41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vertical="center"/>
    </xf>
    <xf numFmtId="43" fontId="9" fillId="3" borderId="3" xfId="13" applyFont="1" applyFill="1" applyBorder="1" applyAlignment="1">
      <alignment horizontal="right" vertical="center" wrapText="1"/>
    </xf>
    <xf numFmtId="43" fontId="9" fillId="3" borderId="3" xfId="13" applyFont="1" applyFill="1" applyBorder="1" applyAlignment="1">
      <alignment horizontal="right" vertical="center"/>
    </xf>
    <xf numFmtId="43" fontId="9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43" fontId="9" fillId="3" borderId="3" xfId="13" applyFont="1" applyFill="1" applyBorder="1" applyAlignment="1">
      <alignment vertical="center"/>
    </xf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7" fillId="3" borderId="3" xfId="0" applyFont="1" applyFill="1" applyBorder="1" applyAlignment="1">
      <alignment vertical="center"/>
    </xf>
    <xf numFmtId="43" fontId="7" fillId="3" borderId="3" xfId="13" applyFont="1" applyFill="1" applyBorder="1" applyAlignment="1">
      <alignment horizontal="right" vertical="center"/>
    </xf>
    <xf numFmtId="43" fontId="7" fillId="3" borderId="3" xfId="13" applyFont="1" applyFill="1" applyBorder="1" applyAlignment="1">
      <alignment vertical="center"/>
    </xf>
    <xf numFmtId="2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/>
    </xf>
    <xf numFmtId="2" fontId="9" fillId="3" borderId="3" xfId="0" applyNumberFormat="1" applyFont="1" applyFill="1" applyBorder="1" applyAlignment="1">
      <alignment vertical="center"/>
    </xf>
    <xf numFmtId="0" fontId="9" fillId="3" borderId="3" xfId="14" applyFont="1" applyFill="1" applyBorder="1" applyAlignment="1">
      <alignment vertical="center" wrapText="1"/>
    </xf>
    <xf numFmtId="0" fontId="12" fillId="3" borderId="3" xfId="14" applyFont="1" applyFill="1" applyBorder="1" applyAlignment="1">
      <alignment vertical="center" wrapText="1"/>
    </xf>
    <xf numFmtId="43" fontId="9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wrapText="1"/>
    </xf>
    <xf numFmtId="43" fontId="7" fillId="3" borderId="3" xfId="13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2" fillId="11" borderId="6" xfId="0" applyFont="1" applyFill="1" applyBorder="1" applyAlignment="1">
      <alignment wrapText="1"/>
    </xf>
    <xf numFmtId="0" fontId="22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41" fontId="22" fillId="0" borderId="3" xfId="13" applyNumberFormat="1" applyFont="1" applyBorder="1" applyAlignment="1">
      <alignment vertical="center"/>
    </xf>
    <xf numFmtId="43" fontId="22" fillId="0" borderId="3" xfId="13" applyFont="1" applyBorder="1" applyAlignment="1">
      <alignment vertical="center"/>
    </xf>
    <xf numFmtId="41" fontId="15" fillId="0" borderId="3" xfId="0" applyNumberFormat="1" applyFont="1" applyBorder="1" applyAlignment="1">
      <alignment horizontal="center" vertical="center" wrapText="1"/>
    </xf>
    <xf numFmtId="41" fontId="15" fillId="0" borderId="3" xfId="0" applyNumberFormat="1" applyFont="1" applyBorder="1" applyAlignment="1">
      <alignment horizontal="center" vertical="center"/>
    </xf>
    <xf numFmtId="41" fontId="22" fillId="3" borderId="2" xfId="13" applyNumberFormat="1" applyFont="1" applyFill="1" applyBorder="1" applyAlignment="1">
      <alignment vertical="top"/>
    </xf>
    <xf numFmtId="41" fontId="22" fillId="3" borderId="9" xfId="0" applyNumberFormat="1" applyFont="1" applyFill="1" applyBorder="1" applyAlignment="1">
      <alignment horizontal="right" vertical="top"/>
    </xf>
    <xf numFmtId="41" fontId="15" fillId="3" borderId="9" xfId="0" applyNumberFormat="1" applyFont="1" applyFill="1" applyBorder="1" applyAlignment="1">
      <alignment horizontal="center" vertical="center" wrapText="1"/>
    </xf>
    <xf numFmtId="43" fontId="22" fillId="3" borderId="9" xfId="13" applyFont="1" applyFill="1" applyBorder="1" applyAlignment="1">
      <alignment horizontal="right" vertical="top"/>
    </xf>
    <xf numFmtId="0" fontId="15" fillId="3" borderId="9" xfId="0" applyFont="1" applyFill="1" applyBorder="1" applyAlignment="1">
      <alignment horizontal="center" vertical="center" wrapText="1"/>
    </xf>
    <xf numFmtId="41" fontId="22" fillId="3" borderId="3" xfId="13" applyNumberFormat="1" applyFont="1" applyFill="1" applyBorder="1" applyAlignment="1">
      <alignment horizontal="right" vertical="top"/>
    </xf>
    <xf numFmtId="41" fontId="22" fillId="3" borderId="3" xfId="13" applyNumberFormat="1" applyFont="1" applyFill="1" applyBorder="1" applyAlignment="1">
      <alignment horizontal="center" vertical="center"/>
    </xf>
    <xf numFmtId="43" fontId="22" fillId="3" borderId="3" xfId="13" applyFont="1" applyFill="1" applyBorder="1" applyAlignment="1">
      <alignment horizontal="right" vertical="top"/>
    </xf>
    <xf numFmtId="41" fontId="22" fillId="3" borderId="2" xfId="13" applyNumberFormat="1" applyFont="1" applyFill="1" applyBorder="1" applyAlignment="1">
      <alignment horizontal="center" vertical="center"/>
    </xf>
    <xf numFmtId="43" fontId="14" fillId="6" borderId="3" xfId="13" applyFont="1" applyFill="1" applyBorder="1" applyAlignment="1">
      <alignment horizontal="right" vertical="center" wrapText="1"/>
    </xf>
    <xf numFmtId="43" fontId="15" fillId="0" borderId="0" xfId="0" applyNumberFormat="1" applyFont="1" applyFill="1" applyAlignment="1">
      <alignment vertical="center"/>
    </xf>
    <xf numFmtId="43" fontId="22" fillId="0" borderId="0" xfId="0" applyNumberFormat="1" applyFont="1" applyFill="1" applyAlignment="1">
      <alignment vertical="center"/>
    </xf>
    <xf numFmtId="43" fontId="6" fillId="3" borderId="3" xfId="13" applyFont="1" applyFill="1" applyBorder="1" applyAlignment="1">
      <alignment horizontal="center" vertical="top" wrapText="1"/>
    </xf>
    <xf numFmtId="43" fontId="5" fillId="3" borderId="3" xfId="13" applyFont="1" applyFill="1" applyBorder="1" applyAlignment="1">
      <alignment horizontal="center" vertical="center" wrapText="1"/>
    </xf>
    <xf numFmtId="43" fontId="5" fillId="3" borderId="3" xfId="13" applyFont="1" applyFill="1" applyBorder="1" applyAlignment="1">
      <alignment horizontal="center" vertical="top" wrapText="1"/>
    </xf>
    <xf numFmtId="43" fontId="24" fillId="3" borderId="3" xfId="13" applyFont="1" applyFill="1" applyBorder="1" applyAlignment="1">
      <alignment horizontal="center" vertical="center" wrapText="1"/>
    </xf>
    <xf numFmtId="43" fontId="5" fillId="3" borderId="3" xfId="13" applyFont="1" applyFill="1" applyBorder="1" applyAlignment="1">
      <alignment horizontal="right" vertical="top" wrapText="1"/>
    </xf>
    <xf numFmtId="43" fontId="4" fillId="3" borderId="3" xfId="13" applyFont="1" applyFill="1" applyBorder="1" applyAlignment="1">
      <alignment horizontal="center" vertical="center"/>
    </xf>
    <xf numFmtId="43" fontId="4" fillId="3" borderId="3" xfId="13" applyFont="1" applyFill="1" applyBorder="1" applyAlignment="1">
      <alignment horizontal="center" vertical="center" wrapText="1"/>
    </xf>
    <xf numFmtId="43" fontId="22" fillId="3" borderId="5" xfId="13" applyFont="1" applyFill="1" applyBorder="1" applyAlignment="1">
      <alignment horizontal="right" vertical="top" wrapText="1"/>
    </xf>
    <xf numFmtId="43" fontId="16" fillId="3" borderId="3" xfId="13" applyFont="1" applyFill="1" applyBorder="1" applyAlignment="1">
      <alignment horizontal="center" vertical="center" wrapText="1"/>
    </xf>
    <xf numFmtId="43" fontId="14" fillId="3" borderId="9" xfId="13" applyFont="1" applyFill="1" applyBorder="1" applyAlignment="1">
      <alignment horizontal="right" vertical="top" wrapText="1"/>
    </xf>
    <xf numFmtId="43" fontId="5" fillId="3" borderId="9" xfId="13" applyFont="1" applyFill="1" applyBorder="1" applyAlignment="1">
      <alignment horizontal="right" vertical="top" wrapText="1"/>
    </xf>
    <xf numFmtId="43" fontId="22" fillId="3" borderId="9" xfId="13" applyFont="1" applyFill="1" applyBorder="1" applyAlignment="1">
      <alignment horizontal="right" vertical="top" wrapText="1"/>
    </xf>
    <xf numFmtId="43" fontId="16" fillId="3" borderId="3" xfId="13" applyFont="1" applyFill="1" applyBorder="1" applyAlignment="1">
      <alignment horizontal="center" vertical="top" wrapText="1"/>
    </xf>
    <xf numFmtId="43" fontId="6" fillId="3" borderId="3" xfId="13" applyFont="1" applyFill="1" applyBorder="1" applyAlignment="1">
      <alignment horizontal="center" vertical="center" wrapText="1"/>
    </xf>
    <xf numFmtId="43" fontId="14" fillId="3" borderId="3" xfId="13" applyFont="1" applyFill="1" applyBorder="1" applyAlignment="1">
      <alignment horizontal="right" vertical="center" wrapText="1"/>
    </xf>
    <xf numFmtId="43" fontId="28" fillId="6" borderId="3" xfId="13" applyFont="1" applyFill="1" applyBorder="1" applyAlignment="1">
      <alignment horizontal="center" vertical="top" wrapText="1"/>
    </xf>
    <xf numFmtId="43" fontId="6" fillId="6" borderId="3" xfId="13" applyFont="1" applyFill="1" applyBorder="1" applyAlignment="1">
      <alignment horizontal="center" vertical="center" wrapText="1"/>
    </xf>
    <xf numFmtId="43" fontId="15" fillId="3" borderId="3" xfId="13" applyFont="1" applyFill="1" applyBorder="1" applyAlignment="1">
      <alignment horizontal="center" vertical="center" wrapText="1"/>
    </xf>
    <xf numFmtId="43" fontId="20" fillId="3" borderId="3" xfId="13" applyFont="1" applyFill="1" applyBorder="1"/>
    <xf numFmtId="43" fontId="9" fillId="3" borderId="3" xfId="13" applyFont="1" applyFill="1" applyBorder="1" applyAlignment="1">
      <alignment horizontal="center" vertical="center"/>
    </xf>
    <xf numFmtId="43" fontId="42" fillId="0" borderId="0" xfId="0" applyNumberFormat="1" applyFont="1"/>
    <xf numFmtId="189" fontId="6" fillId="3" borderId="3" xfId="0" applyNumberFormat="1" applyFont="1" applyFill="1" applyBorder="1" applyAlignment="1">
      <alignment horizontal="center" vertical="center" wrapText="1"/>
    </xf>
    <xf numFmtId="189" fontId="15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43" fontId="27" fillId="0" borderId="0" xfId="0" applyNumberFormat="1" applyFont="1"/>
    <xf numFmtId="43" fontId="43" fillId="0" borderId="0" xfId="0" applyNumberFormat="1" applyFont="1"/>
    <xf numFmtId="41" fontId="30" fillId="0" borderId="3" xfId="0" applyNumberFormat="1" applyFont="1" applyBorder="1" applyAlignment="1">
      <alignment horizontal="center" vertical="center" wrapText="1"/>
    </xf>
    <xf numFmtId="41" fontId="22" fillId="0" borderId="3" xfId="13" applyNumberFormat="1" applyFont="1" applyFill="1" applyBorder="1" applyAlignment="1">
      <alignment horizontal="left" vertical="center"/>
    </xf>
    <xf numFmtId="41" fontId="30" fillId="0" borderId="3" xfId="13" applyNumberFormat="1" applyFont="1" applyFill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center" vertical="top"/>
    </xf>
    <xf numFmtId="41" fontId="11" fillId="0" borderId="3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43" fontId="30" fillId="0" borderId="0" xfId="13" applyFont="1" applyAlignment="1">
      <alignment wrapText="1"/>
    </xf>
    <xf numFmtId="43" fontId="38" fillId="0" borderId="3" xfId="13" applyFont="1" applyBorder="1" applyAlignment="1">
      <alignment horizontal="right" wrapText="1"/>
    </xf>
    <xf numFmtId="41" fontId="14" fillId="3" borderId="3" xfId="0" applyNumberFormat="1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/>
    </xf>
    <xf numFmtId="41" fontId="6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41" fontId="14" fillId="3" borderId="0" xfId="0" applyNumberFormat="1" applyFont="1" applyFill="1" applyBorder="1" applyAlignment="1">
      <alignment horizontal="center" vertical="top" wrapText="1"/>
    </xf>
    <xf numFmtId="41" fontId="6" fillId="3" borderId="0" xfId="0" applyNumberFormat="1" applyFont="1" applyFill="1" applyBorder="1" applyAlignment="1">
      <alignment horizontal="center" vertical="top" wrapText="1"/>
    </xf>
    <xf numFmtId="41" fontId="6" fillId="3" borderId="0" xfId="0" applyNumberFormat="1" applyFont="1" applyFill="1" applyBorder="1" applyAlignment="1">
      <alignment horizontal="right" vertical="top" wrapText="1"/>
    </xf>
    <xf numFmtId="3" fontId="4" fillId="3" borderId="0" xfId="1" applyNumberFormat="1" applyFont="1" applyFill="1" applyBorder="1" applyAlignment="1">
      <alignment vertical="top" wrapText="1"/>
    </xf>
    <xf numFmtId="41" fontId="44" fillId="3" borderId="0" xfId="0" applyNumberFormat="1" applyFont="1" applyFill="1" applyBorder="1" applyAlignment="1">
      <alignment horizontal="center" vertical="top" wrapText="1"/>
    </xf>
    <xf numFmtId="41" fontId="14" fillId="3" borderId="3" xfId="2" applyNumberFormat="1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top" wrapText="1"/>
    </xf>
    <xf numFmtId="41" fontId="5" fillId="3" borderId="0" xfId="0" applyNumberFormat="1" applyFont="1" applyFill="1" applyBorder="1" applyAlignment="1">
      <alignment horizontal="center" vertical="top" wrapText="1"/>
    </xf>
    <xf numFmtId="41" fontId="4" fillId="3" borderId="0" xfId="0" applyNumberFormat="1" applyFont="1" applyFill="1" applyBorder="1" applyAlignment="1">
      <alignment horizontal="center" vertical="center" wrapText="1"/>
    </xf>
    <xf numFmtId="3" fontId="4" fillId="3" borderId="0" xfId="1" applyNumberFormat="1" applyFont="1" applyFill="1" applyBorder="1" applyAlignment="1">
      <alignment horizontal="center" vertical="top" wrapText="1"/>
    </xf>
    <xf numFmtId="41" fontId="4" fillId="3" borderId="0" xfId="0" applyNumberFormat="1" applyFont="1" applyFill="1" applyBorder="1" applyAlignment="1">
      <alignment horizontal="center" vertical="top" wrapText="1"/>
    </xf>
    <xf numFmtId="41" fontId="6" fillId="3" borderId="0" xfId="0" applyNumberFormat="1" applyFont="1" applyFill="1" applyBorder="1" applyAlignment="1">
      <alignment horizontal="left" vertical="center" wrapText="1"/>
    </xf>
    <xf numFmtId="188" fontId="14" fillId="3" borderId="3" xfId="13" applyNumberFormat="1" applyFont="1" applyFill="1" applyBorder="1" applyAlignment="1">
      <alignment horizontal="center" vertical="center" wrapText="1"/>
    </xf>
    <xf numFmtId="41" fontId="44" fillId="3" borderId="0" xfId="0" applyNumberFormat="1" applyFont="1" applyFill="1" applyBorder="1" applyAlignment="1">
      <alignment horizontal="center" vertical="center" wrapText="1"/>
    </xf>
    <xf numFmtId="41" fontId="10" fillId="3" borderId="3" xfId="0" applyNumberFormat="1" applyFont="1" applyFill="1" applyBorder="1" applyAlignment="1">
      <alignment vertical="center"/>
    </xf>
    <xf numFmtId="188" fontId="11" fillId="0" borderId="3" xfId="13" applyNumberFormat="1" applyFont="1" applyBorder="1" applyAlignment="1">
      <alignment vertical="top"/>
    </xf>
    <xf numFmtId="43" fontId="6" fillId="3" borderId="3" xfId="13" applyFont="1" applyFill="1" applyBorder="1" applyAlignment="1">
      <alignment horizontal="center" wrapText="1"/>
    </xf>
    <xf numFmtId="41" fontId="9" fillId="0" borderId="3" xfId="0" applyNumberFormat="1" applyFont="1" applyBorder="1" applyAlignment="1">
      <alignment horizontal="right"/>
    </xf>
    <xf numFmtId="43" fontId="9" fillId="0" borderId="3" xfId="13" applyFont="1" applyBorder="1" applyAlignment="1">
      <alignment horizontal="right"/>
    </xf>
    <xf numFmtId="43" fontId="6" fillId="3" borderId="3" xfId="13" applyFont="1" applyFill="1" applyBorder="1" applyAlignment="1">
      <alignment horizontal="right" wrapText="1"/>
    </xf>
    <xf numFmtId="188" fontId="15" fillId="3" borderId="3" xfId="13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2" borderId="3" xfId="0" applyFont="1" applyFill="1" applyBorder="1"/>
    <xf numFmtId="0" fontId="7" fillId="0" borderId="3" xfId="0" applyFont="1" applyBorder="1" applyAlignment="1">
      <alignment vertical="top"/>
    </xf>
    <xf numFmtId="0" fontId="17" fillId="0" borderId="0" xfId="0" applyFont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43" fontId="11" fillId="0" borderId="3" xfId="13" applyFont="1" applyBorder="1" applyAlignment="1">
      <alignment horizontal="center" vertical="top" wrapText="1"/>
    </xf>
    <xf numFmtId="43" fontId="10" fillId="8" borderId="3" xfId="13" applyFont="1" applyFill="1" applyBorder="1" applyAlignment="1">
      <alignment horizontal="right" vertical="top"/>
    </xf>
    <xf numFmtId="41" fontId="14" fillId="3" borderId="3" xfId="0" applyNumberFormat="1" applyFont="1" applyFill="1" applyBorder="1" applyAlignment="1" applyProtection="1">
      <alignment horizontal="center" vertical="center"/>
      <protection locked="0"/>
    </xf>
    <xf numFmtId="41" fontId="6" fillId="3" borderId="3" xfId="0" applyNumberFormat="1" applyFont="1" applyFill="1" applyBorder="1" applyAlignment="1" applyProtection="1">
      <alignment horizontal="center" vertical="center"/>
      <protection locked="0"/>
    </xf>
    <xf numFmtId="43" fontId="14" fillId="3" borderId="3" xfId="13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43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41" fontId="14" fillId="3" borderId="3" xfId="0" applyNumberFormat="1" applyFont="1" applyFill="1" applyBorder="1" applyAlignment="1">
      <alignment vertical="center"/>
    </xf>
    <xf numFmtId="41" fontId="6" fillId="3" borderId="3" xfId="0" applyNumberFormat="1" applyFont="1" applyFill="1" applyBorder="1" applyAlignment="1">
      <alignment vertical="center"/>
    </xf>
    <xf numFmtId="43" fontId="14" fillId="3" borderId="3" xfId="13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left" vertical="top" wrapText="1"/>
    </xf>
    <xf numFmtId="43" fontId="31" fillId="3" borderId="3" xfId="13" applyFont="1" applyFill="1" applyBorder="1" applyAlignment="1">
      <alignment horizontal="right" vertical="top" wrapText="1"/>
    </xf>
    <xf numFmtId="0" fontId="9" fillId="0" borderId="9" xfId="0" applyFont="1" applyBorder="1" applyAlignment="1">
      <alignment vertical="center" wrapText="1"/>
    </xf>
    <xf numFmtId="43" fontId="4" fillId="3" borderId="3" xfId="13" applyFont="1" applyFill="1" applyBorder="1" applyAlignment="1">
      <alignment horizontal="center" vertical="top" wrapText="1"/>
    </xf>
    <xf numFmtId="41" fontId="2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9" xfId="0" applyFont="1" applyBorder="1" applyAlignment="1">
      <alignment wrapText="1"/>
    </xf>
    <xf numFmtId="41" fontId="22" fillId="3" borderId="3" xfId="0" applyNumberFormat="1" applyFont="1" applyFill="1" applyBorder="1" applyAlignment="1">
      <alignment horizontal="right" vertical="center"/>
    </xf>
    <xf numFmtId="41" fontId="14" fillId="3" borderId="3" xfId="0" applyNumberFormat="1" applyFont="1" applyFill="1" applyBorder="1" applyAlignment="1">
      <alignment horizontal="right" vertical="center"/>
    </xf>
    <xf numFmtId="43" fontId="14" fillId="3" borderId="3" xfId="13" applyFont="1" applyFill="1" applyBorder="1" applyAlignment="1">
      <alignment horizontal="right" vertical="center"/>
    </xf>
    <xf numFmtId="0" fontId="6" fillId="12" borderId="3" xfId="0" applyNumberFormat="1" applyFont="1" applyFill="1" applyBorder="1" applyAlignment="1">
      <alignment horizontal="center" vertical="top" wrapText="1"/>
    </xf>
    <xf numFmtId="41" fontId="15" fillId="12" borderId="3" xfId="0" applyNumberFormat="1" applyFont="1" applyFill="1" applyBorder="1" applyAlignment="1">
      <alignment vertical="top" wrapText="1"/>
    </xf>
    <xf numFmtId="43" fontId="22" fillId="12" borderId="3" xfId="13" applyFont="1" applyFill="1" applyBorder="1" applyAlignment="1">
      <alignment horizontal="center" vertical="top" wrapText="1"/>
    </xf>
    <xf numFmtId="43" fontId="22" fillId="12" borderId="3" xfId="13" applyFont="1" applyFill="1" applyBorder="1" applyAlignment="1">
      <alignment horizontal="right" vertical="top"/>
    </xf>
    <xf numFmtId="43" fontId="5" fillId="12" borderId="3" xfId="13" applyFont="1" applyFill="1" applyBorder="1" applyAlignment="1">
      <alignment horizontal="center" vertical="center" wrapText="1"/>
    </xf>
    <xf numFmtId="43" fontId="24" fillId="12" borderId="3" xfId="13" applyFont="1" applyFill="1" applyBorder="1" applyAlignment="1">
      <alignment horizontal="center" vertical="center" wrapText="1"/>
    </xf>
    <xf numFmtId="43" fontId="22" fillId="12" borderId="3" xfId="13" applyFont="1" applyFill="1" applyBorder="1" applyAlignment="1">
      <alignment horizontal="right" vertical="top" wrapText="1"/>
    </xf>
    <xf numFmtId="49" fontId="16" fillId="12" borderId="3" xfId="0" applyNumberFormat="1" applyFont="1" applyFill="1" applyBorder="1" applyAlignment="1">
      <alignment horizontal="center" vertical="top" wrapText="1"/>
    </xf>
    <xf numFmtId="0" fontId="0" fillId="12" borderId="0" xfId="0" applyFill="1"/>
    <xf numFmtId="0" fontId="15" fillId="12" borderId="5" xfId="0" applyNumberFormat="1" applyFont="1" applyFill="1" applyBorder="1" applyAlignment="1">
      <alignment horizontal="center" vertical="top" wrapText="1"/>
    </xf>
    <xf numFmtId="41" fontId="15" fillId="12" borderId="4" xfId="3" applyNumberFormat="1" applyFont="1" applyFill="1" applyBorder="1" applyAlignment="1">
      <alignment horizontal="left" vertical="top" wrapText="1"/>
    </xf>
    <xf numFmtId="43" fontId="22" fillId="12" borderId="9" xfId="13" applyFont="1" applyFill="1" applyBorder="1" applyAlignment="1">
      <alignment horizontal="right" vertical="top" wrapText="1"/>
    </xf>
    <xf numFmtId="43" fontId="23" fillId="12" borderId="3" xfId="13" applyFont="1" applyFill="1" applyBorder="1" applyAlignment="1">
      <alignment horizontal="right" vertical="top" wrapText="1"/>
    </xf>
    <xf numFmtId="49" fontId="16" fillId="12" borderId="3" xfId="3" applyNumberFormat="1" applyFont="1" applyFill="1" applyBorder="1" applyAlignment="1">
      <alignment horizontal="center" vertical="top" wrapText="1"/>
    </xf>
    <xf numFmtId="41" fontId="15" fillId="12" borderId="2" xfId="3" applyNumberFormat="1" applyFont="1" applyFill="1" applyBorder="1" applyAlignment="1">
      <alignment horizontal="left" vertical="top" wrapText="1"/>
    </xf>
    <xf numFmtId="0" fontId="15" fillId="12" borderId="3" xfId="0" applyNumberFormat="1" applyFont="1" applyFill="1" applyBorder="1" applyAlignment="1">
      <alignment horizontal="center" vertical="top" wrapText="1"/>
    </xf>
    <xf numFmtId="41" fontId="15" fillId="12" borderId="3" xfId="3" applyNumberFormat="1" applyFont="1" applyFill="1" applyBorder="1" applyAlignment="1">
      <alignment horizontal="left" vertical="top" wrapText="1"/>
    </xf>
    <xf numFmtId="41" fontId="15" fillId="12" borderId="3" xfId="3" applyNumberFormat="1" applyFont="1" applyFill="1" applyBorder="1" applyAlignment="1">
      <alignment vertical="top" wrapText="1"/>
    </xf>
    <xf numFmtId="41" fontId="15" fillId="12" borderId="3" xfId="0" applyNumberFormat="1" applyFont="1" applyFill="1" applyBorder="1" applyAlignment="1">
      <alignment horizontal="left" vertical="top"/>
    </xf>
    <xf numFmtId="0" fontId="9" fillId="12" borderId="9" xfId="0" applyFont="1" applyFill="1" applyBorder="1" applyAlignment="1">
      <alignment vertical="center" wrapText="1"/>
    </xf>
    <xf numFmtId="43" fontId="14" fillId="12" borderId="3" xfId="13" applyFont="1" applyFill="1" applyBorder="1" applyAlignment="1">
      <alignment horizontal="center" vertical="top" wrapText="1"/>
    </xf>
    <xf numFmtId="43" fontId="14" fillId="12" borderId="3" xfId="13" applyFont="1" applyFill="1" applyBorder="1" applyAlignment="1">
      <alignment horizontal="right" vertical="top" wrapText="1"/>
    </xf>
    <xf numFmtId="43" fontId="4" fillId="12" borderId="3" xfId="13" applyFont="1" applyFill="1" applyBorder="1" applyAlignment="1">
      <alignment horizontal="center" vertical="center" wrapText="1"/>
    </xf>
    <xf numFmtId="43" fontId="6" fillId="12" borderId="3" xfId="13" applyFont="1" applyFill="1" applyBorder="1" applyAlignment="1">
      <alignment horizontal="center" vertical="center" wrapText="1"/>
    </xf>
    <xf numFmtId="49" fontId="28" fillId="12" borderId="3" xfId="0" applyNumberFormat="1" applyFont="1" applyFill="1" applyBorder="1" applyAlignment="1">
      <alignment horizontal="center" vertical="center" wrapText="1"/>
    </xf>
    <xf numFmtId="0" fontId="0" fillId="12" borderId="0" xfId="0" applyFont="1" applyFill="1"/>
    <xf numFmtId="41" fontId="28" fillId="12" borderId="3" xfId="0" applyNumberFormat="1" applyFont="1" applyFill="1" applyBorder="1" applyAlignment="1">
      <alignment horizontal="center" vertical="top" wrapText="1"/>
    </xf>
    <xf numFmtId="41" fontId="15" fillId="12" borderId="3" xfId="0" applyNumberFormat="1" applyFont="1" applyFill="1" applyBorder="1" applyAlignment="1">
      <alignment horizontal="left" vertical="top" wrapText="1"/>
    </xf>
    <xf numFmtId="43" fontId="15" fillId="12" borderId="3" xfId="13" applyFont="1" applyFill="1" applyBorder="1" applyAlignment="1">
      <alignment horizontal="center" vertical="center" wrapText="1"/>
    </xf>
    <xf numFmtId="41" fontId="16" fillId="12" borderId="3" xfId="0" applyNumberFormat="1" applyFont="1" applyFill="1" applyBorder="1" applyAlignment="1">
      <alignment horizontal="center" vertical="top" wrapText="1"/>
    </xf>
    <xf numFmtId="41" fontId="6" fillId="12" borderId="3" xfId="0" applyNumberFormat="1" applyFont="1" applyFill="1" applyBorder="1" applyAlignment="1">
      <alignment horizontal="left" vertical="top" wrapText="1"/>
    </xf>
    <xf numFmtId="43" fontId="31" fillId="12" borderId="3" xfId="13" applyFont="1" applyFill="1" applyBorder="1" applyAlignment="1">
      <alignment horizontal="right" vertical="top" wrapText="1"/>
    </xf>
    <xf numFmtId="41" fontId="28" fillId="12" borderId="3" xfId="0" applyNumberFormat="1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vertical="center"/>
    </xf>
    <xf numFmtId="43" fontId="7" fillId="12" borderId="3" xfId="13" applyFont="1" applyFill="1" applyBorder="1" applyAlignment="1">
      <alignment horizontal="right" vertical="center"/>
    </xf>
    <xf numFmtId="43" fontId="13" fillId="12" borderId="3" xfId="13" applyFont="1" applyFill="1" applyBorder="1" applyAlignment="1">
      <alignment horizontal="center" vertical="center" wrapText="1"/>
    </xf>
    <xf numFmtId="43" fontId="7" fillId="12" borderId="3" xfId="13" applyFont="1" applyFill="1" applyBorder="1" applyAlignment="1">
      <alignment vertical="center"/>
    </xf>
    <xf numFmtId="0" fontId="13" fillId="12" borderId="3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7" fillId="12" borderId="3" xfId="0" applyFont="1" applyFill="1" applyBorder="1" applyAlignment="1">
      <alignment vertical="center" wrapText="1"/>
    </xf>
    <xf numFmtId="2" fontId="7" fillId="12" borderId="3" xfId="0" applyNumberFormat="1" applyFont="1" applyFill="1" applyBorder="1" applyAlignment="1">
      <alignment vertical="center"/>
    </xf>
    <xf numFmtId="0" fontId="12" fillId="12" borderId="3" xfId="14" applyFont="1" applyFill="1" applyBorder="1" applyAlignment="1">
      <alignment vertical="center" wrapText="1"/>
    </xf>
    <xf numFmtId="0" fontId="7" fillId="12" borderId="3" xfId="0" applyFont="1" applyFill="1" applyBorder="1" applyAlignment="1">
      <alignment horizontal="center" vertical="center"/>
    </xf>
    <xf numFmtId="43" fontId="7" fillId="12" borderId="3" xfId="13" applyFont="1" applyFill="1" applyBorder="1" applyAlignment="1">
      <alignment horizontal="center" vertical="center" wrapText="1"/>
    </xf>
    <xf numFmtId="41" fontId="22" fillId="12" borderId="3" xfId="13" applyNumberFormat="1" applyFont="1" applyFill="1" applyBorder="1" applyAlignment="1">
      <alignment horizontal="center" vertical="center"/>
    </xf>
    <xf numFmtId="41" fontId="15" fillId="12" borderId="3" xfId="13" applyNumberFormat="1" applyFont="1" applyFill="1" applyBorder="1" applyAlignment="1">
      <alignment horizontal="center" vertical="center" wrapText="1"/>
    </xf>
    <xf numFmtId="41" fontId="5" fillId="12" borderId="3" xfId="13" applyNumberFormat="1" applyFont="1" applyFill="1" applyBorder="1" applyAlignment="1">
      <alignment horizontal="center" vertical="center" wrapText="1"/>
    </xf>
    <xf numFmtId="43" fontId="22" fillId="12" borderId="3" xfId="13" applyFont="1" applyFill="1" applyBorder="1" applyAlignment="1">
      <alignment horizontal="center" vertical="center"/>
    </xf>
    <xf numFmtId="43" fontId="22" fillId="12" borderId="3" xfId="13" applyFont="1" applyFill="1" applyBorder="1" applyAlignment="1">
      <alignment horizontal="right" vertical="center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0" xfId="0" applyFont="1" applyFill="1" applyAlignment="1">
      <alignment vertical="center"/>
    </xf>
    <xf numFmtId="41" fontId="22" fillId="12" borderId="3" xfId="0" applyNumberFormat="1" applyFont="1" applyFill="1" applyBorder="1" applyAlignment="1">
      <alignment vertical="center"/>
    </xf>
    <xf numFmtId="41" fontId="15" fillId="12" borderId="3" xfId="0" applyNumberFormat="1" applyFont="1" applyFill="1" applyBorder="1" applyAlignment="1">
      <alignment horizontal="center" vertical="center" wrapText="1"/>
    </xf>
    <xf numFmtId="43" fontId="22" fillId="12" borderId="3" xfId="13" applyFont="1" applyFill="1" applyBorder="1" applyAlignment="1">
      <alignment vertical="center"/>
    </xf>
    <xf numFmtId="41" fontId="22" fillId="12" borderId="3" xfId="13" applyNumberFormat="1" applyFont="1" applyFill="1" applyBorder="1" applyAlignment="1">
      <alignment horizontal="right" vertical="center"/>
    </xf>
    <xf numFmtId="43" fontId="14" fillId="12" borderId="3" xfId="13" applyFont="1" applyFill="1" applyBorder="1" applyAlignment="1">
      <alignment horizontal="right" vertical="center"/>
    </xf>
    <xf numFmtId="41" fontId="14" fillId="12" borderId="3" xfId="0" applyNumberFormat="1" applyFont="1" applyFill="1" applyBorder="1" applyAlignment="1">
      <alignment horizontal="right" vertical="center"/>
    </xf>
    <xf numFmtId="41" fontId="22" fillId="12" borderId="3" xfId="0" applyNumberFormat="1" applyFont="1" applyFill="1" applyBorder="1" applyAlignment="1">
      <alignment horizontal="right" vertical="center"/>
    </xf>
    <xf numFmtId="41" fontId="15" fillId="12" borderId="3" xfId="0" applyNumberFormat="1" applyFont="1" applyFill="1" applyBorder="1" applyAlignment="1">
      <alignment horizontal="center" vertical="center"/>
    </xf>
    <xf numFmtId="43" fontId="15" fillId="12" borderId="0" xfId="0" applyNumberFormat="1" applyFont="1" applyFill="1" applyAlignment="1">
      <alignment vertical="center"/>
    </xf>
    <xf numFmtId="41" fontId="14" fillId="12" borderId="3" xfId="0" applyNumberFormat="1" applyFont="1" applyFill="1" applyBorder="1" applyAlignment="1">
      <alignment vertical="center"/>
    </xf>
    <xf numFmtId="41" fontId="6" fillId="12" borderId="3" xfId="0" applyNumberFormat="1" applyFont="1" applyFill="1" applyBorder="1" applyAlignment="1">
      <alignment vertical="center"/>
    </xf>
    <xf numFmtId="43" fontId="14" fillId="12" borderId="3" xfId="13" applyFont="1" applyFill="1" applyBorder="1" applyAlignment="1">
      <alignment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vertical="center"/>
    </xf>
    <xf numFmtId="41" fontId="6" fillId="12" borderId="3" xfId="0" applyNumberFormat="1" applyFont="1" applyFill="1" applyBorder="1" applyAlignment="1">
      <alignment horizontal="right" vertical="center"/>
    </xf>
    <xf numFmtId="41" fontId="22" fillId="12" borderId="3" xfId="13" applyNumberFormat="1" applyFont="1" applyFill="1" applyBorder="1" applyAlignment="1">
      <alignment vertical="center"/>
    </xf>
    <xf numFmtId="41" fontId="14" fillId="12" borderId="3" xfId="0" applyNumberFormat="1" applyFont="1" applyFill="1" applyBorder="1" applyAlignment="1">
      <alignment vertical="center" wrapText="1"/>
    </xf>
    <xf numFmtId="43" fontId="22" fillId="12" borderId="3" xfId="13" applyFont="1" applyFill="1" applyBorder="1" applyAlignment="1">
      <alignment vertical="center" wrapText="1"/>
    </xf>
    <xf numFmtId="41" fontId="15" fillId="12" borderId="2" xfId="0" applyNumberFormat="1" applyFont="1" applyFill="1" applyBorder="1" applyAlignment="1">
      <alignment horizontal="center" vertical="center" wrapText="1"/>
    </xf>
    <xf numFmtId="41" fontId="14" fillId="12" borderId="3" xfId="13" applyNumberFormat="1" applyFont="1" applyFill="1" applyBorder="1" applyAlignment="1">
      <alignment horizontal="right" vertical="center"/>
    </xf>
    <xf numFmtId="43" fontId="22" fillId="0" borderId="3" xfId="13" applyFont="1" applyFill="1" applyBorder="1" applyAlignment="1">
      <alignment horizontal="left" vertical="center"/>
    </xf>
    <xf numFmtId="41" fontId="45" fillId="3" borderId="3" xfId="0" applyNumberFormat="1" applyFont="1" applyFill="1" applyBorder="1" applyAlignment="1">
      <alignment horizontal="center" vertical="center"/>
    </xf>
    <xf numFmtId="0" fontId="0" fillId="3" borderId="0" xfId="0" applyFill="1"/>
    <xf numFmtId="43" fontId="15" fillId="0" borderId="0" xfId="13" applyFont="1" applyFill="1" applyAlignment="1">
      <alignment vertical="center"/>
    </xf>
    <xf numFmtId="43" fontId="5" fillId="12" borderId="5" xfId="13" applyFont="1" applyFill="1" applyBorder="1" applyAlignment="1">
      <alignment horizontal="center" vertical="center" wrapText="1"/>
    </xf>
    <xf numFmtId="43" fontId="5" fillId="12" borderId="9" xfId="13" applyFont="1" applyFill="1" applyBorder="1" applyAlignment="1">
      <alignment horizontal="center" vertical="center" wrapText="1"/>
    </xf>
    <xf numFmtId="41" fontId="6" fillId="3" borderId="8" xfId="0" applyNumberFormat="1" applyFont="1" applyFill="1" applyBorder="1" applyAlignment="1">
      <alignment horizontal="left" vertical="top" wrapText="1"/>
    </xf>
    <xf numFmtId="41" fontId="6" fillId="3" borderId="2" xfId="0" applyNumberFormat="1" applyFont="1" applyFill="1" applyBorder="1" applyAlignment="1">
      <alignment horizontal="left" vertical="top" wrapText="1"/>
    </xf>
    <xf numFmtId="41" fontId="6" fillId="3" borderId="1" xfId="0" applyNumberFormat="1" applyFont="1" applyFill="1" applyBorder="1" applyAlignment="1">
      <alignment horizontal="left" vertical="top" wrapText="1"/>
    </xf>
    <xf numFmtId="41" fontId="6" fillId="3" borderId="3" xfId="0" applyNumberFormat="1" applyFont="1" applyFill="1" applyBorder="1" applyAlignment="1">
      <alignment horizontal="center" vertical="top" wrapText="1"/>
    </xf>
    <xf numFmtId="41" fontId="6" fillId="3" borderId="6" xfId="0" applyNumberFormat="1" applyFont="1" applyFill="1" applyBorder="1" applyAlignment="1">
      <alignment horizontal="left" vertical="top" wrapText="1"/>
    </xf>
    <xf numFmtId="41" fontId="6" fillId="3" borderId="4" xfId="0" applyNumberFormat="1" applyFont="1" applyFill="1" applyBorder="1" applyAlignment="1">
      <alignment horizontal="left" vertical="top" wrapText="1"/>
    </xf>
    <xf numFmtId="41" fontId="6" fillId="3" borderId="3" xfId="0" applyNumberFormat="1" applyFont="1" applyFill="1" applyBorder="1" applyAlignment="1">
      <alignment horizontal="left" vertical="top" wrapText="1"/>
    </xf>
    <xf numFmtId="43" fontId="5" fillId="3" borderId="5" xfId="13" applyFont="1" applyFill="1" applyBorder="1" applyAlignment="1">
      <alignment horizontal="center" vertical="center" wrapText="1"/>
    </xf>
    <xf numFmtId="43" fontId="5" fillId="3" borderId="9" xfId="13" applyFont="1" applyFill="1" applyBorder="1" applyAlignment="1">
      <alignment horizontal="center" vertical="center" wrapText="1"/>
    </xf>
    <xf numFmtId="41" fontId="16" fillId="12" borderId="5" xfId="0" applyNumberFormat="1" applyFont="1" applyFill="1" applyBorder="1" applyAlignment="1">
      <alignment horizontal="center" vertical="center" wrapText="1"/>
    </xf>
    <xf numFmtId="41" fontId="16" fillId="12" borderId="7" xfId="0" applyNumberFormat="1" applyFont="1" applyFill="1" applyBorder="1" applyAlignment="1">
      <alignment horizontal="center" vertical="center" wrapText="1"/>
    </xf>
    <xf numFmtId="41" fontId="16" fillId="12" borderId="9" xfId="0" applyNumberFormat="1" applyFont="1" applyFill="1" applyBorder="1" applyAlignment="1">
      <alignment horizontal="center" vertical="center" wrapText="1"/>
    </xf>
    <xf numFmtId="41" fontId="16" fillId="12" borderId="5" xfId="0" applyNumberFormat="1" applyFont="1" applyFill="1" applyBorder="1" applyAlignment="1">
      <alignment horizontal="center" vertical="top" wrapText="1"/>
    </xf>
    <xf numFmtId="41" fontId="16" fillId="12" borderId="9" xfId="0" applyNumberFormat="1" applyFont="1" applyFill="1" applyBorder="1" applyAlignment="1">
      <alignment horizontal="center" vertical="top" wrapText="1"/>
    </xf>
    <xf numFmtId="41" fontId="6" fillId="3" borderId="9" xfId="0" applyNumberFormat="1" applyFont="1" applyFill="1" applyBorder="1" applyAlignment="1">
      <alignment horizontal="left" vertical="top" wrapText="1"/>
    </xf>
    <xf numFmtId="41" fontId="21" fillId="0" borderId="0" xfId="0" applyNumberFormat="1" applyFont="1" applyBorder="1" applyAlignment="1">
      <alignment horizontal="center" vertical="center" wrapText="1"/>
    </xf>
    <xf numFmtId="41" fontId="14" fillId="0" borderId="0" xfId="0" applyNumberFormat="1" applyFont="1" applyBorder="1" applyAlignment="1">
      <alignment horizontal="center" vertic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41" fontId="14" fillId="3" borderId="1" xfId="0" applyNumberFormat="1" applyFont="1" applyFill="1" applyBorder="1" applyAlignment="1">
      <alignment horizontal="center" vertical="center" wrapText="1"/>
    </xf>
    <xf numFmtId="41" fontId="14" fillId="3" borderId="11" xfId="0" applyNumberFormat="1" applyFont="1" applyFill="1" applyBorder="1" applyAlignment="1">
      <alignment horizontal="center" vertical="center" wrapText="1"/>
    </xf>
    <xf numFmtId="41" fontId="14" fillId="3" borderId="2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right"/>
    </xf>
    <xf numFmtId="41" fontId="6" fillId="3" borderId="1" xfId="0" applyNumberFormat="1" applyFont="1" applyFill="1" applyBorder="1" applyAlignment="1">
      <alignment horizontal="center" vertical="top" wrapText="1"/>
    </xf>
    <xf numFmtId="41" fontId="6" fillId="3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41" fontId="15" fillId="3" borderId="1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1" fontId="6" fillId="3" borderId="1" xfId="0" applyNumberFormat="1" applyFont="1" applyFill="1" applyBorder="1" applyAlignment="1">
      <alignment horizontal="left" vertical="center" wrapText="1"/>
    </xf>
    <xf numFmtId="41" fontId="6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18" fillId="3" borderId="2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1" fontId="6" fillId="2" borderId="5" xfId="0" applyNumberFormat="1" applyFont="1" applyFill="1" applyBorder="1" applyAlignment="1">
      <alignment horizontal="center" vertical="center" wrapText="1"/>
    </xf>
    <xf numFmtId="41" fontId="6" fillId="2" borderId="9" xfId="0" applyNumberFormat="1" applyFont="1" applyFill="1" applyBorder="1" applyAlignment="1">
      <alignment horizontal="center" vertical="center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Alignment="1">
      <alignment horizontal="center" vertical="center"/>
    </xf>
    <xf numFmtId="0" fontId="14" fillId="5" borderId="3" xfId="5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41" fontId="10" fillId="8" borderId="1" xfId="0" applyNumberFormat="1" applyFont="1" applyFill="1" applyBorder="1" applyAlignment="1">
      <alignment horizontal="center"/>
    </xf>
    <xf numFmtId="41" fontId="10" fillId="8" borderId="2" xfId="0" applyNumberFormat="1" applyFont="1" applyFill="1" applyBorder="1" applyAlignment="1">
      <alignment horizontal="center"/>
    </xf>
    <xf numFmtId="41" fontId="32" fillId="7" borderId="1" xfId="0" applyNumberFormat="1" applyFont="1" applyFill="1" applyBorder="1" applyAlignment="1">
      <alignment horizontal="center" vertical="center" wrapText="1"/>
    </xf>
    <xf numFmtId="41" fontId="32" fillId="7" borderId="11" xfId="0" applyNumberFormat="1" applyFont="1" applyFill="1" applyBorder="1" applyAlignment="1">
      <alignment horizontal="center" vertical="center" wrapText="1"/>
    </xf>
    <xf numFmtId="41" fontId="32" fillId="7" borderId="2" xfId="0" applyNumberFormat="1" applyFont="1" applyFill="1" applyBorder="1" applyAlignment="1">
      <alignment horizontal="center" vertical="center" wrapText="1"/>
    </xf>
    <xf numFmtId="41" fontId="10" fillId="7" borderId="5" xfId="0" applyNumberFormat="1" applyFont="1" applyFill="1" applyBorder="1" applyAlignment="1">
      <alignment horizontal="center" vertical="center"/>
    </xf>
    <xf numFmtId="41" fontId="10" fillId="7" borderId="9" xfId="0" applyNumberFormat="1" applyFont="1" applyFill="1" applyBorder="1" applyAlignment="1">
      <alignment horizontal="center" vertical="center"/>
    </xf>
    <xf numFmtId="41" fontId="10" fillId="7" borderId="5" xfId="0" applyNumberFormat="1" applyFont="1" applyFill="1" applyBorder="1" applyAlignment="1">
      <alignment horizontal="center" vertical="center" wrapText="1"/>
    </xf>
    <xf numFmtId="41" fontId="10" fillId="7" borderId="9" xfId="0" applyNumberFormat="1" applyFont="1" applyFill="1" applyBorder="1" applyAlignment="1">
      <alignment horizontal="center" vertical="center" wrapText="1"/>
    </xf>
    <xf numFmtId="41" fontId="10" fillId="0" borderId="0" xfId="0" applyNumberFormat="1" applyFont="1" applyAlignment="1">
      <alignment horizontal="center" vertical="center" wrapText="1"/>
    </xf>
    <xf numFmtId="41" fontId="10" fillId="0" borderId="0" xfId="0" applyNumberFormat="1" applyFont="1" applyAlignment="1">
      <alignment horizontal="center" vertical="center"/>
    </xf>
    <xf numFmtId="41" fontId="31" fillId="0" borderId="10" xfId="0" applyNumberFormat="1" applyFont="1" applyBorder="1" applyAlignment="1">
      <alignment horizontal="right"/>
    </xf>
    <xf numFmtId="41" fontId="10" fillId="0" borderId="5" xfId="0" applyNumberFormat="1" applyFont="1" applyBorder="1" applyAlignment="1">
      <alignment horizontal="center" vertical="top"/>
    </xf>
    <xf numFmtId="41" fontId="10" fillId="0" borderId="7" xfId="0" applyNumberFormat="1" applyFont="1" applyBorder="1" applyAlignment="1">
      <alignment horizontal="center" vertical="top"/>
    </xf>
    <xf numFmtId="41" fontId="32" fillId="7" borderId="5" xfId="0" applyNumberFormat="1" applyFont="1" applyFill="1" applyBorder="1" applyAlignment="1">
      <alignment horizontal="center" vertical="center" wrapText="1"/>
    </xf>
    <xf numFmtId="41" fontId="32" fillId="7" borderId="9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top" wrapText="1"/>
    </xf>
    <xf numFmtId="0" fontId="22" fillId="3" borderId="11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22" fillId="11" borderId="14" xfId="0" applyFont="1" applyFill="1" applyBorder="1" applyAlignment="1">
      <alignment horizontal="left" vertical="top" wrapText="1"/>
    </xf>
    <xf numFmtId="0" fontId="22" fillId="11" borderId="15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0" fontId="22" fillId="11" borderId="11" xfId="0" applyFont="1" applyFill="1" applyBorder="1" applyAlignment="1">
      <alignment horizontal="left" vertical="top" wrapText="1"/>
    </xf>
    <xf numFmtId="0" fontId="22" fillId="11" borderId="2" xfId="0" applyFont="1" applyFill="1" applyBorder="1" applyAlignment="1">
      <alignment horizontal="left" vertical="top" wrapText="1"/>
    </xf>
    <xf numFmtId="0" fontId="14" fillId="10" borderId="6" xfId="0" applyFont="1" applyFill="1" applyBorder="1" applyAlignment="1">
      <alignment horizontal="left" vertical="top" wrapText="1"/>
    </xf>
    <xf numFmtId="0" fontId="14" fillId="10" borderId="0" xfId="0" applyFont="1" applyFill="1" applyBorder="1" applyAlignment="1">
      <alignment horizontal="left" vertical="top" wrapText="1"/>
    </xf>
    <xf numFmtId="0" fontId="14" fillId="10" borderId="13" xfId="0" applyFont="1" applyFill="1" applyBorder="1" applyAlignment="1">
      <alignment horizontal="left" vertical="top" wrapText="1"/>
    </xf>
    <xf numFmtId="0" fontId="22" fillId="11" borderId="14" xfId="0" applyFont="1" applyFill="1" applyBorder="1" applyAlignment="1">
      <alignment horizontal="left" vertical="top"/>
    </xf>
    <xf numFmtId="0" fontId="22" fillId="11" borderId="15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4" fillId="0" borderId="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1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0" borderId="5" xfId="0" applyFont="1" applyFill="1" applyBorder="1" applyAlignment="1">
      <alignment horizontal="left" vertical="top" wrapText="1"/>
    </xf>
    <xf numFmtId="0" fontId="22" fillId="4" borderId="12" xfId="0" applyFont="1" applyFill="1" applyBorder="1" applyAlignment="1">
      <alignment horizontal="left" vertical="top" wrapText="1"/>
    </xf>
    <xf numFmtId="0" fontId="22" fillId="4" borderId="10" xfId="0" applyFont="1" applyFill="1" applyBorder="1" applyAlignment="1">
      <alignment horizontal="left" vertical="top" wrapText="1"/>
    </xf>
    <xf numFmtId="0" fontId="22" fillId="4" borderId="4" xfId="0" applyFont="1" applyFill="1" applyBorder="1" applyAlignment="1">
      <alignment horizontal="left" vertical="top" wrapText="1"/>
    </xf>
    <xf numFmtId="0" fontId="14" fillId="10" borderId="12" xfId="0" applyFont="1" applyFill="1" applyBorder="1" applyAlignment="1">
      <alignment horizontal="left" wrapText="1"/>
    </xf>
    <xf numFmtId="0" fontId="14" fillId="10" borderId="10" xfId="0" applyFont="1" applyFill="1" applyBorder="1" applyAlignment="1">
      <alignment horizontal="left" wrapText="1"/>
    </xf>
    <xf numFmtId="0" fontId="14" fillId="10" borderId="4" xfId="0" applyFont="1" applyFill="1" applyBorder="1" applyAlignment="1">
      <alignment horizontal="left" wrapText="1"/>
    </xf>
    <xf numFmtId="0" fontId="22" fillId="4" borderId="5" xfId="0" applyFont="1" applyFill="1" applyBorder="1" applyAlignment="1">
      <alignment horizontal="left" vertical="top" wrapText="1"/>
    </xf>
    <xf numFmtId="0" fontId="22" fillId="11" borderId="1" xfId="0" applyFont="1" applyFill="1" applyBorder="1" applyAlignment="1">
      <alignment horizontal="center"/>
    </xf>
    <xf numFmtId="0" fontId="22" fillId="11" borderId="11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left" vertical="top"/>
    </xf>
    <xf numFmtId="0" fontId="14" fillId="11" borderId="15" xfId="0" applyFont="1" applyFill="1" applyBorder="1" applyAlignment="1">
      <alignment horizontal="left" vertical="top"/>
    </xf>
    <xf numFmtId="43" fontId="22" fillId="11" borderId="11" xfId="13" applyFont="1" applyFill="1" applyBorder="1" applyAlignment="1">
      <alignment horizontal="left" vertical="top" wrapText="1"/>
    </xf>
    <xf numFmtId="43" fontId="22" fillId="11" borderId="2" xfId="13" applyFont="1" applyFill="1" applyBorder="1" applyAlignment="1">
      <alignment horizontal="left" vertical="top" wrapText="1"/>
    </xf>
    <xf numFmtId="0" fontId="14" fillId="10" borderId="6" xfId="0" applyFont="1" applyFill="1" applyBorder="1" applyAlignment="1">
      <alignment horizontal="left" vertical="top"/>
    </xf>
    <xf numFmtId="0" fontId="14" fillId="10" borderId="0" xfId="0" applyFont="1" applyFill="1" applyBorder="1" applyAlignment="1">
      <alignment horizontal="left" vertical="top"/>
    </xf>
    <xf numFmtId="0" fontId="14" fillId="10" borderId="13" xfId="0" applyFont="1" applyFill="1" applyBorder="1" applyAlignment="1">
      <alignment horizontal="left" vertical="top"/>
    </xf>
    <xf numFmtId="0" fontId="14" fillId="10" borderId="9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9" borderId="1" xfId="0" applyFont="1" applyFill="1" applyBorder="1" applyAlignment="1" applyProtection="1">
      <alignment horizontal="left" vertical="top" wrapText="1"/>
      <protection locked="0"/>
    </xf>
    <xf numFmtId="0" fontId="14" fillId="9" borderId="11" xfId="0" applyFont="1" applyFill="1" applyBorder="1" applyAlignment="1" applyProtection="1">
      <alignment horizontal="left" vertical="top" wrapText="1"/>
      <protection locked="0"/>
    </xf>
    <xf numFmtId="0" fontId="14" fillId="9" borderId="2" xfId="0" applyFont="1" applyFill="1" applyBorder="1" applyAlignment="1" applyProtection="1">
      <alignment horizontal="left" vertical="top" wrapText="1"/>
      <protection locked="0"/>
    </xf>
    <xf numFmtId="49" fontId="14" fillId="10" borderId="3" xfId="0" applyNumberFormat="1" applyFont="1" applyFill="1" applyBorder="1" applyAlignment="1">
      <alignment horizontal="left" vertical="top" wrapText="1"/>
    </xf>
    <xf numFmtId="0" fontId="14" fillId="11" borderId="2" xfId="0" applyFont="1" applyFill="1" applyBorder="1" applyAlignment="1">
      <alignment horizontal="left" vertical="top" wrapText="1"/>
    </xf>
    <xf numFmtId="0" fontId="14" fillId="11" borderId="3" xfId="0" applyFont="1" applyFill="1" applyBorder="1" applyAlignment="1">
      <alignment horizontal="left" vertical="top" wrapText="1"/>
    </xf>
    <xf numFmtId="0" fontId="14" fillId="11" borderId="11" xfId="0" applyFont="1" applyFill="1" applyBorder="1" applyAlignment="1">
      <alignment horizontal="left" vertical="top" wrapText="1"/>
    </xf>
    <xf numFmtId="0" fontId="14" fillId="10" borderId="3" xfId="0" applyFont="1" applyFill="1" applyBorder="1" applyAlignment="1">
      <alignment horizontal="left" vertical="top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5" xfId="0" applyFont="1" applyFill="1" applyBorder="1" applyAlignment="1">
      <alignment horizontal="left" vertical="top" wrapText="1"/>
    </xf>
    <xf numFmtId="0" fontId="14" fillId="11" borderId="14" xfId="0" applyFont="1" applyFill="1" applyBorder="1" applyAlignment="1">
      <alignment horizontal="left" vertical="top" wrapText="1"/>
    </xf>
    <xf numFmtId="0" fontId="14" fillId="11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right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>
      <alignment horizontal="left" vertical="center" wrapText="1"/>
    </xf>
    <xf numFmtId="43" fontId="22" fillId="0" borderId="3" xfId="13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/>
    </xf>
    <xf numFmtId="0" fontId="14" fillId="10" borderId="3" xfId="0" applyFont="1" applyFill="1" applyBorder="1" applyAlignment="1">
      <alignment horizontal="left" vertical="center"/>
    </xf>
    <xf numFmtId="0" fontId="22" fillId="12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49" fontId="14" fillId="10" borderId="3" xfId="0" applyNumberFormat="1" applyFont="1" applyFill="1" applyBorder="1" applyAlignment="1">
      <alignment horizontal="left" vertical="center" wrapText="1"/>
    </xf>
  </cellXfs>
  <cellStyles count="16">
    <cellStyle name="Comma" xfId="13" builtinId="3"/>
    <cellStyle name="Comma 2" xfId="15"/>
    <cellStyle name="Comma 3" xfId="2"/>
    <cellStyle name="Comma 4" xfId="4"/>
    <cellStyle name="Normal" xfId="0" builtinId="0"/>
    <cellStyle name="Normal 2" xfId="5"/>
    <cellStyle name="Normal 3" xfId="11"/>
    <cellStyle name="Normal 4" xfId="3"/>
    <cellStyle name="เครื่องหมายจุลภาค 2" xfId="1"/>
    <cellStyle name="เครื่องหมายจุลภาค 2 2" xfId="6"/>
    <cellStyle name="เครื่องหมายจุลภาค 2 3" xfId="12"/>
    <cellStyle name="เครื่องหมายจุลภาค 3 2 3 2" xfId="7"/>
    <cellStyle name="ปกติ 2" xfId="8"/>
    <cellStyle name="ปกติ 2 2" xfId="9"/>
    <cellStyle name="ปกติ 2_Template วิเคราะห์แผนพัฒนา ส่ง มท." xfId="10"/>
    <cellStyle name="ปกติ 3" xfId="14"/>
  </cellStyles>
  <dxfs count="0"/>
  <tableStyles count="0" defaultTableStyle="TableStyleMedium9" defaultPivotStyle="PivotStyleLight16"/>
  <colors>
    <mruColors>
      <color rgb="FFFF5050"/>
      <color rgb="FF3333FF"/>
      <color rgb="FFED7E03"/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114300</xdr:rowOff>
    </xdr:from>
    <xdr:to>
      <xdr:col>9</xdr:col>
      <xdr:colOff>561975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8486775" y="114300"/>
          <a:ext cx="13525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งบกลุ่มจังหวัด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1571625</xdr:colOff>
      <xdr:row>0</xdr:row>
      <xdr:rowOff>190500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488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533400</xdr:colOff>
      <xdr:row>0</xdr:row>
      <xdr:rowOff>0</xdr:rowOff>
    </xdr:from>
    <xdr:ext cx="1209675" cy="32419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24950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1571625</xdr:colOff>
      <xdr:row>0</xdr:row>
      <xdr:rowOff>190500</xdr:rowOff>
    </xdr:from>
    <xdr:ext cx="184731" cy="262572"/>
    <xdr:sp macro="" textlink="">
      <xdr:nvSpPr>
        <xdr:cNvPr id="2" name="TextBox 1"/>
        <xdr:cNvSpPr txBox="1"/>
      </xdr:nvSpPr>
      <xdr:spPr>
        <a:xfrm>
          <a:off x="109156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533400</xdr:colOff>
      <xdr:row>0</xdr:row>
      <xdr:rowOff>0</xdr:rowOff>
    </xdr:from>
    <xdr:ext cx="1209675" cy="324191"/>
    <xdr:sp macro="" textlink="">
      <xdr:nvSpPr>
        <xdr:cNvPr id="3" name="TextBox 2"/>
        <xdr:cNvSpPr txBox="1"/>
      </xdr:nvSpPr>
      <xdr:spPr>
        <a:xfrm>
          <a:off x="10306050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85"/>
  <sheetViews>
    <sheetView tabSelected="1" zoomScale="80" zoomScaleNormal="80" zoomScaleSheetLayoutView="8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50" sqref="I50"/>
    </sheetView>
  </sheetViews>
  <sheetFormatPr defaultRowHeight="14.25" x14ac:dyDescent="0.2"/>
  <cols>
    <col min="1" max="1" width="3" style="1" customWidth="1"/>
    <col min="2" max="2" width="45.375" style="1" customWidth="1"/>
    <col min="3" max="3" width="14.625" style="1" customWidth="1"/>
    <col min="4" max="4" width="13.875" style="1" customWidth="1"/>
    <col min="5" max="5" width="14.5" style="1" customWidth="1"/>
    <col min="6" max="6" width="9" style="1" customWidth="1"/>
    <col min="7" max="7" width="9.125" style="1" customWidth="1"/>
    <col min="8" max="8" width="11.75" style="1" customWidth="1"/>
    <col min="9" max="9" width="14.875" style="1" customWidth="1"/>
    <col min="10" max="10" width="12.75" style="1" customWidth="1"/>
    <col min="11" max="11" width="14.5" style="1" customWidth="1"/>
    <col min="12" max="12" width="13.625" style="1" customWidth="1"/>
    <col min="13" max="13" width="7.625" style="1" customWidth="1"/>
    <col min="14" max="14" width="12.125" style="1" customWidth="1"/>
    <col min="15" max="15" width="18.25" style="1" customWidth="1"/>
    <col min="16" max="16" width="18.5" style="1" customWidth="1"/>
    <col min="17" max="17" width="16.375" style="1" customWidth="1"/>
    <col min="18" max="18" width="18.125" style="1" customWidth="1"/>
    <col min="19" max="20" width="9" style="1" customWidth="1"/>
    <col min="21" max="16384" width="9" style="1"/>
  </cols>
  <sheetData>
    <row r="1" spans="1:19" ht="23.25" customHeight="1" x14ac:dyDescent="0.2">
      <c r="A1" s="771" t="s">
        <v>193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</row>
    <row r="2" spans="1:19" ht="23.25" customHeight="1" x14ac:dyDescent="0.2">
      <c r="A2" s="771" t="s">
        <v>749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105"/>
    </row>
    <row r="3" spans="1:19" ht="17.25" hidden="1" customHeight="1" x14ac:dyDescent="0.2">
      <c r="A3" s="772"/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</row>
    <row r="4" spans="1:19" ht="19.5" customHeight="1" x14ac:dyDescent="0.5">
      <c r="A4" s="13"/>
      <c r="B4" s="13"/>
      <c r="C4" s="13"/>
      <c r="D4" s="13"/>
      <c r="E4" s="13"/>
      <c r="F4" s="13"/>
      <c r="G4" s="13"/>
      <c r="H4" s="779" t="s">
        <v>1049</v>
      </c>
      <c r="I4" s="779"/>
      <c r="J4" s="779"/>
      <c r="K4" s="779"/>
      <c r="L4" s="779"/>
      <c r="M4" s="779"/>
      <c r="N4" s="779"/>
      <c r="Q4" s="103">
        <f>C7-R6</f>
        <v>184788300</v>
      </c>
    </row>
    <row r="5" spans="1:19" ht="19.5" customHeight="1" x14ac:dyDescent="0.2">
      <c r="A5" s="773" t="s">
        <v>76</v>
      </c>
      <c r="B5" s="773" t="s">
        <v>77</v>
      </c>
      <c r="C5" s="773" t="s">
        <v>189</v>
      </c>
      <c r="D5" s="773"/>
      <c r="E5" s="773"/>
      <c r="F5" s="776" t="s">
        <v>186</v>
      </c>
      <c r="G5" s="777"/>
      <c r="H5" s="777"/>
      <c r="I5" s="777"/>
      <c r="J5" s="778"/>
      <c r="K5" s="773" t="s">
        <v>72</v>
      </c>
      <c r="L5" s="773"/>
      <c r="M5" s="773"/>
      <c r="N5" s="774" t="s">
        <v>0</v>
      </c>
      <c r="O5" s="413"/>
      <c r="Q5" s="103"/>
    </row>
    <row r="6" spans="1:19" ht="42.75" customHeight="1" x14ac:dyDescent="0.2">
      <c r="A6" s="773"/>
      <c r="B6" s="773"/>
      <c r="C6" s="56" t="s">
        <v>112</v>
      </c>
      <c r="D6" s="56" t="s">
        <v>81</v>
      </c>
      <c r="E6" s="56" t="s">
        <v>80</v>
      </c>
      <c r="F6" s="56" t="s">
        <v>190</v>
      </c>
      <c r="G6" s="56" t="s">
        <v>71</v>
      </c>
      <c r="H6" s="56" t="s">
        <v>188</v>
      </c>
      <c r="I6" s="56" t="s">
        <v>185</v>
      </c>
      <c r="J6" s="56" t="s">
        <v>284</v>
      </c>
      <c r="K6" s="56" t="s">
        <v>187</v>
      </c>
      <c r="L6" s="56" t="s">
        <v>73</v>
      </c>
      <c r="M6" s="56" t="s">
        <v>74</v>
      </c>
      <c r="N6" s="775"/>
      <c r="O6" s="414"/>
      <c r="P6" s="104"/>
      <c r="R6" s="104"/>
    </row>
    <row r="7" spans="1:19" ht="23.25" customHeight="1" x14ac:dyDescent="0.5">
      <c r="A7" s="759" t="s">
        <v>1</v>
      </c>
      <c r="B7" s="759"/>
      <c r="C7" s="98">
        <f>D7+E7</f>
        <v>184788300</v>
      </c>
      <c r="D7" s="59">
        <f>D8+D115+D130+D140+D154+D155</f>
        <v>48854305.68</v>
      </c>
      <c r="E7" s="59">
        <f>E8+E115+E130+E140+E155</f>
        <v>135933994.31999999</v>
      </c>
      <c r="F7" s="14"/>
      <c r="G7" s="14"/>
      <c r="H7" s="14"/>
      <c r="I7" s="59">
        <f>I8+I115+I130+I140+I155</f>
        <v>134379858.69999999</v>
      </c>
      <c r="J7" s="59">
        <f>J8+J115+J130+J140+J155</f>
        <v>685649.39</v>
      </c>
      <c r="K7" s="59">
        <f>K8+K115+K130+K140+K154+K155</f>
        <v>167126403.14999998</v>
      </c>
      <c r="L7" s="59">
        <f>L8+L115+L130+L140+L154+L155</f>
        <v>16976247.460000001</v>
      </c>
      <c r="M7" s="59">
        <f>K7*100/C7</f>
        <v>90.442091382408947</v>
      </c>
      <c r="N7" s="60"/>
      <c r="O7" s="150"/>
      <c r="P7" s="124" t="s">
        <v>304</v>
      </c>
      <c r="R7" s="124" t="s">
        <v>305</v>
      </c>
    </row>
    <row r="8" spans="1:19" ht="23.25" customHeight="1" x14ac:dyDescent="0.2">
      <c r="A8" s="759" t="s">
        <v>2</v>
      </c>
      <c r="B8" s="759"/>
      <c r="C8" s="98">
        <f>C9+C40+C79+C96+C106+C109</f>
        <v>148670552.72</v>
      </c>
      <c r="D8" s="98">
        <f>D9+D40+D79+D96+D106+D109</f>
        <v>20094837.02</v>
      </c>
      <c r="E8" s="98">
        <f>E9+E40+E79+E96+E106+E109</f>
        <v>128575715.7</v>
      </c>
      <c r="F8" s="582"/>
      <c r="G8" s="14"/>
      <c r="H8" s="14"/>
      <c r="I8" s="59">
        <f>I9+I40+I79+I96+I106+I109</f>
        <v>128489715.7</v>
      </c>
      <c r="J8" s="59">
        <f>J9+J40+J79+J96+J106+J109</f>
        <v>242080.17</v>
      </c>
      <c r="K8" s="59">
        <f>K9+K40+K79+K96+K106+K109</f>
        <v>140837932.54999998</v>
      </c>
      <c r="L8" s="59">
        <f>L9+L40+L79+L96+L106+L109</f>
        <v>7590540</v>
      </c>
      <c r="M8" s="59">
        <f>K8*100/C8</f>
        <v>94.731559124050847</v>
      </c>
      <c r="N8" s="61"/>
      <c r="O8" s="103"/>
      <c r="P8" s="123">
        <f>K9+K44+K49+K56+K61+K65+K70+K96+K111+K113+K135+K158+K162+K163+K164+K166+K168</f>
        <v>126640362.10000001</v>
      </c>
      <c r="Q8" s="103">
        <f>P8*100/E7</f>
        <v>93.163128718102698</v>
      </c>
      <c r="R8" s="123">
        <f>K43+K48+K55+K60+K64+K69+K74+K75+K79+K106+K112+K117+K127+K134+K136+K138+K141+K154+K156+K157+K160+K161+K165+K167</f>
        <v>40486041.050000004</v>
      </c>
      <c r="S8" s="105">
        <f>R8*100/D7</f>
        <v>82.87097828221556</v>
      </c>
    </row>
    <row r="9" spans="1:19" ht="18.75" customHeight="1" x14ac:dyDescent="0.2">
      <c r="A9" s="758" t="s">
        <v>196</v>
      </c>
      <c r="B9" s="757"/>
      <c r="C9" s="98">
        <f>E9</f>
        <v>81396399</v>
      </c>
      <c r="D9" s="98">
        <f t="shared" ref="D9:E9" si="0">D10+D31+D34</f>
        <v>0</v>
      </c>
      <c r="E9" s="98">
        <f t="shared" si="0"/>
        <v>81396399</v>
      </c>
      <c r="F9" s="582"/>
      <c r="G9" s="14"/>
      <c r="H9" s="14"/>
      <c r="I9" s="98">
        <f t="shared" ref="I9:J9" si="1">I10+I31+I34</f>
        <v>81396399</v>
      </c>
      <c r="J9" s="98">
        <f t="shared" si="1"/>
        <v>96922</v>
      </c>
      <c r="K9" s="59">
        <f>K10+K31+K34</f>
        <v>81299477</v>
      </c>
      <c r="L9" s="59">
        <f>L10+L31+L34</f>
        <v>0</v>
      </c>
      <c r="M9" s="59">
        <v>100</v>
      </c>
      <c r="N9" s="61"/>
      <c r="P9" s="124"/>
    </row>
    <row r="10" spans="1:19" ht="21" customHeight="1" x14ac:dyDescent="0.2">
      <c r="A10" s="758" t="s">
        <v>197</v>
      </c>
      <c r="B10" s="757"/>
      <c r="C10" s="98">
        <f>E10</f>
        <v>71117000</v>
      </c>
      <c r="D10" s="98">
        <f t="shared" ref="D10:E10" si="2">D11+D12+D13+D14+D15+D16+D17+D18+D19+D20+D21+D22+D23+D24+D25+D26+D27+D28+D29+D30</f>
        <v>0</v>
      </c>
      <c r="E10" s="98">
        <f t="shared" si="2"/>
        <v>71117000</v>
      </c>
      <c r="F10" s="582"/>
      <c r="G10" s="14"/>
      <c r="H10" s="14"/>
      <c r="I10" s="98">
        <f>I11+I12+I13+I14+I15+I16+I17+I18+I19+I20+I21+I22+I23+I24+I25+I26+I27+I28+I29+I30</f>
        <v>71117000</v>
      </c>
      <c r="J10" s="98">
        <f>J11+J12+J13+J14+J15+J16+J17+J18+J19+J20+J21+J22+J23+J24+J25+J26+J27+J28+J29+J30</f>
        <v>0</v>
      </c>
      <c r="K10" s="59">
        <f>K11+K12+K13+K14+K15+K16+K17+K18+K19+K20+K21+K22+K23+K24+K25+K26+K27+K28+K29+K30</f>
        <v>71117000</v>
      </c>
      <c r="L10" s="59">
        <f>L11+L12+L13+L14+L15+L16+L17+L18+L19+L20+L21+L22+L23+L24+L25+L26+L27+L28+L29+L30</f>
        <v>0</v>
      </c>
      <c r="M10" s="59">
        <f>K10*100/E10</f>
        <v>100</v>
      </c>
      <c r="N10" s="64"/>
      <c r="P10" s="121"/>
    </row>
    <row r="11" spans="1:19" ht="69" x14ac:dyDescent="0.2">
      <c r="A11" s="65">
        <v>1</v>
      </c>
      <c r="B11" s="66" t="s">
        <v>954</v>
      </c>
      <c r="C11" s="115">
        <f>E11</f>
        <v>1248000</v>
      </c>
      <c r="D11" s="69">
        <v>0</v>
      </c>
      <c r="E11" s="69">
        <f>1507000-259000</f>
        <v>1248000</v>
      </c>
      <c r="F11" s="583" t="s">
        <v>353</v>
      </c>
      <c r="G11" s="583" t="s">
        <v>194</v>
      </c>
      <c r="H11" s="583" t="s">
        <v>552</v>
      </c>
      <c r="I11" s="69">
        <v>1248000</v>
      </c>
      <c r="J11" s="84">
        <f t="shared" ref="J11:J22" si="3">E11-I11</f>
        <v>0</v>
      </c>
      <c r="K11" s="69">
        <v>1248000</v>
      </c>
      <c r="L11" s="69">
        <f>E11-K11</f>
        <v>0</v>
      </c>
      <c r="M11" s="69">
        <f>K11*100/E11</f>
        <v>100</v>
      </c>
      <c r="N11" s="85" t="s">
        <v>3</v>
      </c>
      <c r="P11" s="121"/>
      <c r="Q11" s="105"/>
      <c r="R11" s="103"/>
    </row>
    <row r="12" spans="1:19" ht="40.5" customHeight="1" x14ac:dyDescent="0.2">
      <c r="A12" s="65">
        <v>2</v>
      </c>
      <c r="B12" s="66" t="s">
        <v>222</v>
      </c>
      <c r="C12" s="115">
        <f t="shared" ref="C12:C30" si="4">E12</f>
        <v>7776000</v>
      </c>
      <c r="D12" s="69">
        <v>0</v>
      </c>
      <c r="E12" s="577">
        <f>8000000-224000</f>
        <v>7776000</v>
      </c>
      <c r="F12" s="583" t="s">
        <v>353</v>
      </c>
      <c r="G12" s="584" t="s">
        <v>265</v>
      </c>
      <c r="H12" s="583" t="s">
        <v>669</v>
      </c>
      <c r="I12" s="69">
        <v>7776000</v>
      </c>
      <c r="J12" s="84">
        <f t="shared" si="3"/>
        <v>0</v>
      </c>
      <c r="K12" s="69">
        <f>933120+933120+933120+933120+933120+933120+2177280</f>
        <v>7776000</v>
      </c>
      <c r="L12" s="69">
        <f>E12-K12</f>
        <v>0</v>
      </c>
      <c r="M12" s="69">
        <f t="shared" ref="M12:M27" si="5">K12*100/E12</f>
        <v>100</v>
      </c>
      <c r="N12" s="85" t="s">
        <v>3</v>
      </c>
      <c r="P12" s="122"/>
      <c r="Q12" s="103"/>
    </row>
    <row r="13" spans="1:19" ht="57.75" customHeight="1" x14ac:dyDescent="0.2">
      <c r="A13" s="65">
        <v>3</v>
      </c>
      <c r="B13" s="66" t="s">
        <v>223</v>
      </c>
      <c r="C13" s="115">
        <f t="shared" si="4"/>
        <v>3740000</v>
      </c>
      <c r="D13" s="69">
        <v>0</v>
      </c>
      <c r="E13" s="577">
        <f>3753100-13100</f>
        <v>3740000</v>
      </c>
      <c r="F13" s="583" t="s">
        <v>353</v>
      </c>
      <c r="G13" s="583" t="s">
        <v>281</v>
      </c>
      <c r="H13" s="583" t="s">
        <v>668</v>
      </c>
      <c r="I13" s="69">
        <v>3740000</v>
      </c>
      <c r="J13" s="84">
        <f t="shared" si="3"/>
        <v>0</v>
      </c>
      <c r="K13" s="69">
        <v>3740000</v>
      </c>
      <c r="L13" s="69">
        <f>E13-K13</f>
        <v>0</v>
      </c>
      <c r="M13" s="69">
        <v>100</v>
      </c>
      <c r="N13" s="85" t="s">
        <v>4</v>
      </c>
      <c r="P13" s="121"/>
    </row>
    <row r="14" spans="1:19" ht="58.5" customHeight="1" x14ac:dyDescent="0.2">
      <c r="A14" s="65">
        <v>4</v>
      </c>
      <c r="B14" s="66" t="s">
        <v>224</v>
      </c>
      <c r="C14" s="115">
        <f t="shared" si="4"/>
        <v>3835000</v>
      </c>
      <c r="D14" s="69">
        <v>0</v>
      </c>
      <c r="E14" s="577">
        <f>3850000-15000</f>
        <v>3835000</v>
      </c>
      <c r="F14" s="583" t="s">
        <v>353</v>
      </c>
      <c r="G14" s="583" t="s">
        <v>281</v>
      </c>
      <c r="H14" s="583" t="s">
        <v>667</v>
      </c>
      <c r="I14" s="69">
        <v>3835000</v>
      </c>
      <c r="J14" s="84">
        <f t="shared" si="3"/>
        <v>0</v>
      </c>
      <c r="K14" s="69">
        <v>3835000</v>
      </c>
      <c r="L14" s="69">
        <f t="shared" ref="L14:L30" si="6">E14-K14</f>
        <v>0</v>
      </c>
      <c r="M14" s="69">
        <v>100</v>
      </c>
      <c r="N14" s="85" t="s">
        <v>4</v>
      </c>
      <c r="P14" s="103"/>
      <c r="Q14" s="105"/>
    </row>
    <row r="15" spans="1:19" ht="41.25" customHeight="1" x14ac:dyDescent="0.2">
      <c r="A15" s="65">
        <v>5</v>
      </c>
      <c r="B15" s="66" t="s">
        <v>225</v>
      </c>
      <c r="C15" s="115">
        <f t="shared" si="4"/>
        <v>8800000</v>
      </c>
      <c r="D15" s="69">
        <v>0</v>
      </c>
      <c r="E15" s="577">
        <f>8820000-20000</f>
        <v>8800000</v>
      </c>
      <c r="F15" s="583" t="s">
        <v>353</v>
      </c>
      <c r="G15" s="584" t="s">
        <v>303</v>
      </c>
      <c r="H15" s="583" t="s">
        <v>666</v>
      </c>
      <c r="I15" s="69">
        <v>8800000</v>
      </c>
      <c r="J15" s="69">
        <f t="shared" si="3"/>
        <v>0</v>
      </c>
      <c r="K15" s="69">
        <v>8800000</v>
      </c>
      <c r="L15" s="69">
        <f t="shared" si="6"/>
        <v>0</v>
      </c>
      <c r="M15" s="69">
        <f t="shared" si="5"/>
        <v>100</v>
      </c>
      <c r="N15" s="85" t="s">
        <v>5</v>
      </c>
    </row>
    <row r="16" spans="1:19" ht="60" customHeight="1" x14ac:dyDescent="0.2">
      <c r="A16" s="65">
        <v>6</v>
      </c>
      <c r="B16" s="66" t="s">
        <v>226</v>
      </c>
      <c r="C16" s="115">
        <f t="shared" si="4"/>
        <v>2390000</v>
      </c>
      <c r="D16" s="69">
        <v>0</v>
      </c>
      <c r="E16" s="577">
        <f>2400000-10000</f>
        <v>2390000</v>
      </c>
      <c r="F16" s="583" t="s">
        <v>353</v>
      </c>
      <c r="G16" s="583" t="s">
        <v>195</v>
      </c>
      <c r="H16" s="583" t="s">
        <v>665</v>
      </c>
      <c r="I16" s="69">
        <v>2390000</v>
      </c>
      <c r="J16" s="69">
        <f t="shared" si="3"/>
        <v>0</v>
      </c>
      <c r="K16" s="69">
        <v>2390000</v>
      </c>
      <c r="L16" s="69">
        <f t="shared" si="6"/>
        <v>0</v>
      </c>
      <c r="M16" s="69">
        <f t="shared" si="5"/>
        <v>100</v>
      </c>
      <c r="N16" s="85" t="s">
        <v>5</v>
      </c>
    </row>
    <row r="17" spans="1:17" ht="40.5" customHeight="1" x14ac:dyDescent="0.2">
      <c r="A17" s="65">
        <v>7</v>
      </c>
      <c r="B17" s="66" t="s">
        <v>6</v>
      </c>
      <c r="C17" s="115">
        <f t="shared" si="4"/>
        <v>1000000</v>
      </c>
      <c r="D17" s="69">
        <v>0</v>
      </c>
      <c r="E17" s="577">
        <f>1476000-476000</f>
        <v>1000000</v>
      </c>
      <c r="F17" s="583" t="s">
        <v>353</v>
      </c>
      <c r="G17" s="583" t="s">
        <v>265</v>
      </c>
      <c r="H17" s="584" t="s">
        <v>664</v>
      </c>
      <c r="I17" s="69">
        <v>1000000</v>
      </c>
      <c r="J17" s="84">
        <f t="shared" si="3"/>
        <v>0</v>
      </c>
      <c r="K17" s="69">
        <v>1000000</v>
      </c>
      <c r="L17" s="69">
        <f t="shared" si="6"/>
        <v>0</v>
      </c>
      <c r="M17" s="69">
        <v>100</v>
      </c>
      <c r="N17" s="85" t="s">
        <v>7</v>
      </c>
      <c r="Q17" s="103"/>
    </row>
    <row r="18" spans="1:17" ht="39.75" customHeight="1" x14ac:dyDescent="0.2">
      <c r="A18" s="65">
        <v>8</v>
      </c>
      <c r="B18" s="66" t="s">
        <v>227</v>
      </c>
      <c r="C18" s="115">
        <f t="shared" si="4"/>
        <v>3470000</v>
      </c>
      <c r="D18" s="69">
        <v>0</v>
      </c>
      <c r="E18" s="577">
        <f>3527000-57000</f>
        <v>3470000</v>
      </c>
      <c r="F18" s="583" t="s">
        <v>353</v>
      </c>
      <c r="G18" s="583" t="s">
        <v>195</v>
      </c>
      <c r="H18" s="584" t="s">
        <v>663</v>
      </c>
      <c r="I18" s="69">
        <v>3470000</v>
      </c>
      <c r="J18" s="84">
        <f t="shared" si="3"/>
        <v>0</v>
      </c>
      <c r="K18" s="69">
        <v>3470000</v>
      </c>
      <c r="L18" s="69">
        <f t="shared" si="6"/>
        <v>0</v>
      </c>
      <c r="M18" s="69">
        <f t="shared" si="5"/>
        <v>100</v>
      </c>
      <c r="N18" s="85" t="s">
        <v>7</v>
      </c>
      <c r="Q18" s="103"/>
    </row>
    <row r="19" spans="1:17" ht="57.75" customHeight="1" x14ac:dyDescent="0.2">
      <c r="A19" s="65">
        <v>9</v>
      </c>
      <c r="B19" s="66" t="s">
        <v>228</v>
      </c>
      <c r="C19" s="115">
        <f t="shared" si="4"/>
        <v>2710000</v>
      </c>
      <c r="D19" s="69">
        <v>0</v>
      </c>
      <c r="E19" s="69">
        <v>2710000</v>
      </c>
      <c r="F19" s="583" t="s">
        <v>353</v>
      </c>
      <c r="G19" s="583" t="s">
        <v>265</v>
      </c>
      <c r="H19" s="583" t="s">
        <v>324</v>
      </c>
      <c r="I19" s="69">
        <v>2710000</v>
      </c>
      <c r="J19" s="69">
        <f t="shared" si="3"/>
        <v>0</v>
      </c>
      <c r="K19" s="69">
        <v>2710000</v>
      </c>
      <c r="L19" s="69">
        <f t="shared" si="6"/>
        <v>0</v>
      </c>
      <c r="M19" s="69">
        <f t="shared" si="5"/>
        <v>100</v>
      </c>
      <c r="N19" s="85" t="s">
        <v>7</v>
      </c>
    </row>
    <row r="20" spans="1:17" ht="57.75" customHeight="1" x14ac:dyDescent="0.2">
      <c r="A20" s="65">
        <v>10</v>
      </c>
      <c r="B20" s="66" t="s">
        <v>229</v>
      </c>
      <c r="C20" s="115">
        <f t="shared" si="4"/>
        <v>2200000</v>
      </c>
      <c r="D20" s="69">
        <v>0</v>
      </c>
      <c r="E20" s="577">
        <v>2200000</v>
      </c>
      <c r="F20" s="583" t="s">
        <v>353</v>
      </c>
      <c r="G20" s="583" t="s">
        <v>195</v>
      </c>
      <c r="H20" s="583" t="s">
        <v>324</v>
      </c>
      <c r="I20" s="69">
        <v>2200000</v>
      </c>
      <c r="J20" s="69">
        <f t="shared" si="3"/>
        <v>0</v>
      </c>
      <c r="K20" s="69">
        <v>2200000</v>
      </c>
      <c r="L20" s="69">
        <f t="shared" si="6"/>
        <v>0</v>
      </c>
      <c r="M20" s="69">
        <v>100</v>
      </c>
      <c r="N20" s="85" t="s">
        <v>7</v>
      </c>
    </row>
    <row r="21" spans="1:17" ht="39" customHeight="1" x14ac:dyDescent="0.2">
      <c r="A21" s="65">
        <v>11</v>
      </c>
      <c r="B21" s="71" t="s">
        <v>526</v>
      </c>
      <c r="C21" s="115">
        <f t="shared" si="4"/>
        <v>2290000</v>
      </c>
      <c r="D21" s="69">
        <v>0</v>
      </c>
      <c r="E21" s="577">
        <v>2290000</v>
      </c>
      <c r="F21" s="583" t="s">
        <v>353</v>
      </c>
      <c r="G21" s="583" t="s">
        <v>195</v>
      </c>
      <c r="H21" s="583" t="s">
        <v>324</v>
      </c>
      <c r="I21" s="69">
        <v>2290000</v>
      </c>
      <c r="J21" s="69">
        <f t="shared" si="3"/>
        <v>0</v>
      </c>
      <c r="K21" s="69">
        <v>2290000</v>
      </c>
      <c r="L21" s="69">
        <f t="shared" si="6"/>
        <v>0</v>
      </c>
      <c r="M21" s="69">
        <f t="shared" si="5"/>
        <v>100</v>
      </c>
      <c r="N21" s="85" t="s">
        <v>7</v>
      </c>
    </row>
    <row r="22" spans="1:17" ht="38.25" customHeight="1" x14ac:dyDescent="0.2">
      <c r="A22" s="65">
        <v>12</v>
      </c>
      <c r="B22" s="71" t="s">
        <v>230</v>
      </c>
      <c r="C22" s="115">
        <f t="shared" si="4"/>
        <v>1290000</v>
      </c>
      <c r="D22" s="69">
        <v>0</v>
      </c>
      <c r="E22" s="577">
        <v>1290000</v>
      </c>
      <c r="F22" s="583" t="s">
        <v>353</v>
      </c>
      <c r="G22" s="583" t="s">
        <v>195</v>
      </c>
      <c r="H22" s="583" t="s">
        <v>324</v>
      </c>
      <c r="I22" s="69">
        <v>1290000</v>
      </c>
      <c r="J22" s="69">
        <f t="shared" si="3"/>
        <v>0</v>
      </c>
      <c r="K22" s="69">
        <v>1290000</v>
      </c>
      <c r="L22" s="69">
        <f t="shared" si="6"/>
        <v>0</v>
      </c>
      <c r="M22" s="69">
        <v>100</v>
      </c>
      <c r="N22" s="85" t="s">
        <v>7</v>
      </c>
    </row>
    <row r="23" spans="1:17" ht="39" customHeight="1" x14ac:dyDescent="0.2">
      <c r="A23" s="65">
        <v>13</v>
      </c>
      <c r="B23" s="71" t="s">
        <v>527</v>
      </c>
      <c r="C23" s="115">
        <f t="shared" si="4"/>
        <v>3150000</v>
      </c>
      <c r="D23" s="69">
        <v>0</v>
      </c>
      <c r="E23" s="577">
        <f>3685800-535800</f>
        <v>3150000</v>
      </c>
      <c r="F23" s="583" t="s">
        <v>353</v>
      </c>
      <c r="G23" s="583" t="s">
        <v>195</v>
      </c>
      <c r="H23" s="583" t="s">
        <v>662</v>
      </c>
      <c r="I23" s="69">
        <v>3150000</v>
      </c>
      <c r="J23" s="69">
        <f t="shared" ref="J23:J27" si="7">E23-I23</f>
        <v>0</v>
      </c>
      <c r="K23" s="69">
        <v>3150000</v>
      </c>
      <c r="L23" s="69">
        <f t="shared" si="6"/>
        <v>0</v>
      </c>
      <c r="M23" s="69">
        <f t="shared" si="5"/>
        <v>100</v>
      </c>
      <c r="N23" s="393" t="s">
        <v>8</v>
      </c>
    </row>
    <row r="24" spans="1:17" ht="55.5" customHeight="1" x14ac:dyDescent="0.2">
      <c r="A24" s="65">
        <v>14</v>
      </c>
      <c r="B24" s="71" t="s">
        <v>231</v>
      </c>
      <c r="C24" s="115">
        <f t="shared" si="4"/>
        <v>2250000</v>
      </c>
      <c r="D24" s="69">
        <v>0</v>
      </c>
      <c r="E24" s="577">
        <f>2945500-695500</f>
        <v>2250000</v>
      </c>
      <c r="F24" s="583" t="s">
        <v>353</v>
      </c>
      <c r="G24" s="583" t="s">
        <v>195</v>
      </c>
      <c r="H24" s="583" t="s">
        <v>323</v>
      </c>
      <c r="I24" s="69">
        <v>2250000</v>
      </c>
      <c r="J24" s="69">
        <f t="shared" si="7"/>
        <v>0</v>
      </c>
      <c r="K24" s="69">
        <v>2250000</v>
      </c>
      <c r="L24" s="69">
        <f t="shared" si="6"/>
        <v>0</v>
      </c>
      <c r="M24" s="69">
        <f t="shared" si="5"/>
        <v>100</v>
      </c>
      <c r="N24" s="85" t="s">
        <v>8</v>
      </c>
    </row>
    <row r="25" spans="1:17" ht="38.25" customHeight="1" x14ac:dyDescent="0.2">
      <c r="A25" s="65">
        <v>15</v>
      </c>
      <c r="B25" s="71" t="s">
        <v>528</v>
      </c>
      <c r="C25" s="115">
        <f t="shared" si="4"/>
        <v>1900000</v>
      </c>
      <c r="D25" s="69">
        <v>0</v>
      </c>
      <c r="E25" s="577">
        <f>2000000-100000</f>
        <v>1900000</v>
      </c>
      <c r="F25" s="583" t="s">
        <v>353</v>
      </c>
      <c r="G25" s="583" t="s">
        <v>195</v>
      </c>
      <c r="H25" s="583" t="s">
        <v>661</v>
      </c>
      <c r="I25" s="69">
        <v>1900000</v>
      </c>
      <c r="J25" s="69">
        <f t="shared" si="7"/>
        <v>0</v>
      </c>
      <c r="K25" s="69">
        <v>1900000</v>
      </c>
      <c r="L25" s="69">
        <f t="shared" si="6"/>
        <v>0</v>
      </c>
      <c r="M25" s="69">
        <v>100</v>
      </c>
      <c r="N25" s="85" t="s">
        <v>8</v>
      </c>
    </row>
    <row r="26" spans="1:17" ht="39" customHeight="1" x14ac:dyDescent="0.2">
      <c r="A26" s="65">
        <v>16</v>
      </c>
      <c r="B26" s="71" t="s">
        <v>232</v>
      </c>
      <c r="C26" s="115">
        <f t="shared" si="4"/>
        <v>2890000</v>
      </c>
      <c r="D26" s="69">
        <v>0</v>
      </c>
      <c r="E26" s="577">
        <f>3400000-510000</f>
        <v>2890000</v>
      </c>
      <c r="F26" s="583" t="s">
        <v>353</v>
      </c>
      <c r="G26" s="583" t="s">
        <v>266</v>
      </c>
      <c r="H26" s="583" t="s">
        <v>660</v>
      </c>
      <c r="I26" s="69">
        <v>2890000</v>
      </c>
      <c r="J26" s="69">
        <f t="shared" si="7"/>
        <v>0</v>
      </c>
      <c r="K26" s="69">
        <v>2890000</v>
      </c>
      <c r="L26" s="69">
        <f t="shared" si="6"/>
        <v>0</v>
      </c>
      <c r="M26" s="69">
        <f t="shared" si="5"/>
        <v>100</v>
      </c>
      <c r="N26" s="85" t="s">
        <v>8</v>
      </c>
    </row>
    <row r="27" spans="1:17" ht="43.5" customHeight="1" x14ac:dyDescent="0.2">
      <c r="A27" s="65">
        <v>17</v>
      </c>
      <c r="B27" s="71" t="s">
        <v>233</v>
      </c>
      <c r="C27" s="115">
        <f t="shared" si="4"/>
        <v>3070000</v>
      </c>
      <c r="D27" s="69">
        <v>0</v>
      </c>
      <c r="E27" s="577">
        <v>3070000</v>
      </c>
      <c r="F27" s="583" t="s">
        <v>353</v>
      </c>
      <c r="G27" s="583" t="s">
        <v>325</v>
      </c>
      <c r="H27" s="583" t="s">
        <v>659</v>
      </c>
      <c r="I27" s="69">
        <v>3070000</v>
      </c>
      <c r="J27" s="69">
        <f t="shared" si="7"/>
        <v>0</v>
      </c>
      <c r="K27" s="69">
        <v>3070000</v>
      </c>
      <c r="L27" s="69">
        <f t="shared" si="6"/>
        <v>0</v>
      </c>
      <c r="M27" s="69">
        <f t="shared" si="5"/>
        <v>100</v>
      </c>
      <c r="N27" s="85" t="s">
        <v>9</v>
      </c>
    </row>
    <row r="28" spans="1:17" ht="39" customHeight="1" x14ac:dyDescent="0.2">
      <c r="A28" s="65">
        <v>18</v>
      </c>
      <c r="B28" s="71" t="s">
        <v>234</v>
      </c>
      <c r="C28" s="115">
        <f t="shared" si="4"/>
        <v>3270000</v>
      </c>
      <c r="D28" s="69">
        <v>0</v>
      </c>
      <c r="E28" s="577">
        <f>3270000</f>
        <v>3270000</v>
      </c>
      <c r="F28" s="583" t="s">
        <v>353</v>
      </c>
      <c r="G28" s="583" t="s">
        <v>325</v>
      </c>
      <c r="H28" s="583" t="s">
        <v>659</v>
      </c>
      <c r="I28" s="69">
        <v>3270000</v>
      </c>
      <c r="J28" s="69">
        <f>E28-I28</f>
        <v>0</v>
      </c>
      <c r="K28" s="69">
        <v>3270000</v>
      </c>
      <c r="L28" s="69">
        <f t="shared" si="6"/>
        <v>0</v>
      </c>
      <c r="M28" s="69">
        <v>100</v>
      </c>
      <c r="N28" s="85" t="s">
        <v>9</v>
      </c>
    </row>
    <row r="29" spans="1:17" ht="41.25" customHeight="1" x14ac:dyDescent="0.2">
      <c r="A29" s="65">
        <v>19</v>
      </c>
      <c r="B29" s="71" t="s">
        <v>235</v>
      </c>
      <c r="C29" s="115">
        <f t="shared" si="4"/>
        <v>8708000</v>
      </c>
      <c r="D29" s="69">
        <v>0</v>
      </c>
      <c r="E29" s="577">
        <f>8708000</f>
        <v>8708000</v>
      </c>
      <c r="F29" s="583" t="s">
        <v>353</v>
      </c>
      <c r="G29" s="583" t="s">
        <v>325</v>
      </c>
      <c r="H29" s="583" t="s">
        <v>659</v>
      </c>
      <c r="I29" s="69">
        <v>8708000</v>
      </c>
      <c r="J29" s="69">
        <f t="shared" ref="J29:J30" si="8">E29-I29</f>
        <v>0</v>
      </c>
      <c r="K29" s="69">
        <v>8708000</v>
      </c>
      <c r="L29" s="69">
        <f t="shared" si="6"/>
        <v>0</v>
      </c>
      <c r="M29" s="69">
        <v>100</v>
      </c>
      <c r="N29" s="85" t="s">
        <v>9</v>
      </c>
    </row>
    <row r="30" spans="1:17" ht="43.5" customHeight="1" x14ac:dyDescent="0.2">
      <c r="A30" s="65">
        <v>20</v>
      </c>
      <c r="B30" s="71" t="s">
        <v>236</v>
      </c>
      <c r="C30" s="115">
        <f t="shared" si="4"/>
        <v>5130000</v>
      </c>
      <c r="D30" s="69">
        <v>0</v>
      </c>
      <c r="E30" s="577">
        <f>5130000</f>
        <v>5130000</v>
      </c>
      <c r="F30" s="583" t="s">
        <v>353</v>
      </c>
      <c r="G30" s="583" t="s">
        <v>325</v>
      </c>
      <c r="H30" s="583" t="s">
        <v>659</v>
      </c>
      <c r="I30" s="69">
        <v>5130000</v>
      </c>
      <c r="J30" s="69">
        <f t="shared" si="8"/>
        <v>0</v>
      </c>
      <c r="K30" s="69">
        <v>5130000</v>
      </c>
      <c r="L30" s="69">
        <f t="shared" si="6"/>
        <v>0</v>
      </c>
      <c r="M30" s="69">
        <v>100</v>
      </c>
      <c r="N30" s="85" t="s">
        <v>9</v>
      </c>
    </row>
    <row r="31" spans="1:17" ht="21" x14ac:dyDescent="0.2">
      <c r="A31" s="762" t="s">
        <v>198</v>
      </c>
      <c r="B31" s="762"/>
      <c r="C31" s="115">
        <f>E31</f>
        <v>2723000</v>
      </c>
      <c r="D31" s="69">
        <v>0</v>
      </c>
      <c r="E31" s="69">
        <f>E32+E33</f>
        <v>2723000</v>
      </c>
      <c r="F31" s="586"/>
      <c r="G31" s="583"/>
      <c r="H31" s="583"/>
      <c r="I31" s="69">
        <f>I32+I33</f>
        <v>2723000</v>
      </c>
      <c r="J31" s="69">
        <f>J32+J33</f>
        <v>0</v>
      </c>
      <c r="K31" s="69">
        <f>K32+K33</f>
        <v>2723000</v>
      </c>
      <c r="L31" s="69">
        <f>L32+L33</f>
        <v>0</v>
      </c>
      <c r="M31" s="69">
        <f>K31*100/E31</f>
        <v>100</v>
      </c>
      <c r="N31" s="393"/>
    </row>
    <row r="32" spans="1:17" ht="69" x14ac:dyDescent="0.35">
      <c r="A32" s="65">
        <v>21</v>
      </c>
      <c r="B32" s="66" t="s">
        <v>237</v>
      </c>
      <c r="C32" s="115">
        <v>0</v>
      </c>
      <c r="D32" s="69">
        <v>0</v>
      </c>
      <c r="E32" s="577">
        <v>0</v>
      </c>
      <c r="F32" s="585" t="s">
        <v>550</v>
      </c>
      <c r="G32" s="583"/>
      <c r="H32" s="583"/>
      <c r="I32" s="69">
        <v>0</v>
      </c>
      <c r="J32" s="84">
        <v>0</v>
      </c>
      <c r="K32" s="69">
        <v>0</v>
      </c>
      <c r="L32" s="69">
        <v>0</v>
      </c>
      <c r="M32" s="69">
        <v>100</v>
      </c>
      <c r="N32" s="85" t="s">
        <v>7</v>
      </c>
      <c r="O32" s="220"/>
    </row>
    <row r="33" spans="1:16" ht="42.75" customHeight="1" x14ac:dyDescent="0.2">
      <c r="A33" s="65">
        <v>22</v>
      </c>
      <c r="B33" s="71" t="s">
        <v>238</v>
      </c>
      <c r="C33" s="115">
        <f>E33</f>
        <v>2723000</v>
      </c>
      <c r="D33" s="69">
        <v>0</v>
      </c>
      <c r="E33" s="577">
        <v>2723000</v>
      </c>
      <c r="F33" s="583" t="s">
        <v>353</v>
      </c>
      <c r="G33" s="583" t="s">
        <v>293</v>
      </c>
      <c r="H33" s="585" t="s">
        <v>658</v>
      </c>
      <c r="I33" s="69">
        <v>2723000</v>
      </c>
      <c r="J33" s="84">
        <f>E33-I33</f>
        <v>0</v>
      </c>
      <c r="K33" s="69">
        <f>680750+953050+1089200</f>
        <v>2723000</v>
      </c>
      <c r="L33" s="69">
        <f>I33-K33</f>
        <v>0</v>
      </c>
      <c r="M33" s="69">
        <f>K33*100/E33</f>
        <v>100</v>
      </c>
      <c r="N33" s="85" t="s">
        <v>7</v>
      </c>
      <c r="O33" s="103"/>
    </row>
    <row r="34" spans="1:16" ht="21" x14ac:dyDescent="0.2">
      <c r="A34" s="762" t="s">
        <v>199</v>
      </c>
      <c r="B34" s="762"/>
      <c r="C34" s="115">
        <f>E34</f>
        <v>7556399</v>
      </c>
      <c r="D34" s="115">
        <f t="shared" ref="D34:E34" si="9">D35+D36+D37+D38+D39</f>
        <v>0</v>
      </c>
      <c r="E34" s="115">
        <f t="shared" si="9"/>
        <v>7556399</v>
      </c>
      <c r="F34" s="584"/>
      <c r="G34" s="583"/>
      <c r="H34" s="583"/>
      <c r="I34" s="115">
        <f t="shared" ref="I34:J34" si="10">I35+I36+I37+I38+I39</f>
        <v>7556399</v>
      </c>
      <c r="J34" s="115">
        <f t="shared" si="10"/>
        <v>96922</v>
      </c>
      <c r="K34" s="69">
        <f>K35+K36+K37+K38+K39</f>
        <v>7459477</v>
      </c>
      <c r="L34" s="69">
        <f>L35+L36+L37+L38+L39</f>
        <v>0</v>
      </c>
      <c r="M34" s="69">
        <v>100</v>
      </c>
      <c r="N34" s="88"/>
    </row>
    <row r="35" spans="1:16" ht="42" customHeight="1" x14ac:dyDescent="0.2">
      <c r="A35" s="65">
        <v>23</v>
      </c>
      <c r="B35" s="71" t="s">
        <v>239</v>
      </c>
      <c r="C35" s="115">
        <f>E35</f>
        <v>990000</v>
      </c>
      <c r="D35" s="69">
        <v>0</v>
      </c>
      <c r="E35" s="69">
        <f>1135000-145000</f>
        <v>990000</v>
      </c>
      <c r="F35" s="583" t="s">
        <v>353</v>
      </c>
      <c r="G35" s="583" t="s">
        <v>268</v>
      </c>
      <c r="H35" s="583" t="s">
        <v>657</v>
      </c>
      <c r="I35" s="69">
        <v>990000</v>
      </c>
      <c r="J35" s="84">
        <f>E35-I35</f>
        <v>0</v>
      </c>
      <c r="K35" s="69">
        <v>990000</v>
      </c>
      <c r="L35" s="69">
        <f>I35-K35</f>
        <v>0</v>
      </c>
      <c r="M35" s="69">
        <f>K35*100/E35</f>
        <v>100</v>
      </c>
      <c r="N35" s="85" t="s">
        <v>3</v>
      </c>
    </row>
    <row r="36" spans="1:16" ht="54.75" customHeight="1" x14ac:dyDescent="0.2">
      <c r="A36" s="65">
        <v>24</v>
      </c>
      <c r="B36" s="71" t="s">
        <v>529</v>
      </c>
      <c r="C36" s="115">
        <f t="shared" ref="C36:C39" si="11">E36</f>
        <v>1557699</v>
      </c>
      <c r="D36" s="69">
        <v>0</v>
      </c>
      <c r="E36" s="577">
        <f>1665000-3000-104301</f>
        <v>1557699</v>
      </c>
      <c r="F36" s="583" t="s">
        <v>353</v>
      </c>
      <c r="G36" s="583" t="s">
        <v>269</v>
      </c>
      <c r="H36" s="583" t="s">
        <v>656</v>
      </c>
      <c r="I36" s="69">
        <v>1557699</v>
      </c>
      <c r="J36" s="69">
        <v>0</v>
      </c>
      <c r="K36" s="69">
        <v>1557699</v>
      </c>
      <c r="L36" s="69">
        <f>I36-K36</f>
        <v>0</v>
      </c>
      <c r="M36" s="69">
        <v>100</v>
      </c>
      <c r="N36" s="85" t="s">
        <v>5</v>
      </c>
    </row>
    <row r="37" spans="1:16" ht="56.25" customHeight="1" x14ac:dyDescent="0.2">
      <c r="A37" s="65">
        <v>25</v>
      </c>
      <c r="B37" s="71" t="s">
        <v>301</v>
      </c>
      <c r="C37" s="115">
        <f t="shared" si="11"/>
        <v>1673700</v>
      </c>
      <c r="D37" s="69">
        <v>0</v>
      </c>
      <c r="E37" s="69">
        <f>1788400-114700</f>
        <v>1673700</v>
      </c>
      <c r="F37" s="583" t="s">
        <v>353</v>
      </c>
      <c r="G37" s="583" t="s">
        <v>269</v>
      </c>
      <c r="H37" s="583" t="s">
        <v>655</v>
      </c>
      <c r="I37" s="69">
        <v>1673700</v>
      </c>
      <c r="J37" s="84">
        <f>E37-I37</f>
        <v>0</v>
      </c>
      <c r="K37" s="69">
        <v>1673700</v>
      </c>
      <c r="L37" s="69">
        <f>I37-K37</f>
        <v>0</v>
      </c>
      <c r="M37" s="69">
        <f t="shared" ref="M37:M38" si="12">K37*100/E37</f>
        <v>100</v>
      </c>
      <c r="N37" s="85" t="s">
        <v>7</v>
      </c>
    </row>
    <row r="38" spans="1:16" ht="37.5" customHeight="1" x14ac:dyDescent="0.2">
      <c r="A38" s="65">
        <v>26</v>
      </c>
      <c r="B38" s="71" t="s">
        <v>240</v>
      </c>
      <c r="C38" s="115">
        <f t="shared" si="11"/>
        <v>930000</v>
      </c>
      <c r="D38" s="69">
        <v>0</v>
      </c>
      <c r="E38" s="577">
        <f>985000-55000</f>
        <v>930000</v>
      </c>
      <c r="F38" s="583" t="s">
        <v>353</v>
      </c>
      <c r="G38" s="583" t="s">
        <v>267</v>
      </c>
      <c r="H38" s="583" t="s">
        <v>654</v>
      </c>
      <c r="I38" s="69">
        <v>930000</v>
      </c>
      <c r="J38" s="69">
        <f>E38-I38</f>
        <v>0</v>
      </c>
      <c r="K38" s="69">
        <v>930000</v>
      </c>
      <c r="L38" s="69">
        <f>I38-K38</f>
        <v>0</v>
      </c>
      <c r="M38" s="69">
        <f t="shared" si="12"/>
        <v>100</v>
      </c>
      <c r="N38" s="85" t="s">
        <v>8</v>
      </c>
    </row>
    <row r="39" spans="1:16" ht="61.5" customHeight="1" x14ac:dyDescent="0.2">
      <c r="A39" s="65">
        <v>27</v>
      </c>
      <c r="B39" s="71" t="s">
        <v>306</v>
      </c>
      <c r="C39" s="115">
        <f t="shared" si="11"/>
        <v>2405000</v>
      </c>
      <c r="D39" s="69">
        <v>0</v>
      </c>
      <c r="E39" s="577">
        <f>2701800-296800</f>
        <v>2405000</v>
      </c>
      <c r="F39" s="583" t="s">
        <v>738</v>
      </c>
      <c r="G39" s="583" t="s">
        <v>294</v>
      </c>
      <c r="H39" s="585" t="s">
        <v>653</v>
      </c>
      <c r="I39" s="69">
        <v>2405000</v>
      </c>
      <c r="J39" s="69">
        <v>96922</v>
      </c>
      <c r="K39" s="69">
        <v>2308078</v>
      </c>
      <c r="L39" s="69">
        <f>I39-K39-J39</f>
        <v>0</v>
      </c>
      <c r="M39" s="69">
        <v>100</v>
      </c>
      <c r="N39" s="85" t="s">
        <v>8</v>
      </c>
    </row>
    <row r="40" spans="1:16" ht="26.25" customHeight="1" x14ac:dyDescent="0.2">
      <c r="A40" s="758" t="s">
        <v>200</v>
      </c>
      <c r="B40" s="757"/>
      <c r="C40" s="98">
        <f>D40+E40</f>
        <v>16436537.02</v>
      </c>
      <c r="D40" s="98">
        <f t="shared" ref="D40:E40" si="13">D41+D58+D75</f>
        <v>12050537.02</v>
      </c>
      <c r="E40" s="98">
        <f t="shared" si="13"/>
        <v>4386000</v>
      </c>
      <c r="F40" s="584"/>
      <c r="G40" s="587"/>
      <c r="H40" s="587"/>
      <c r="I40" s="98">
        <f t="shared" ref="I40:J40" si="14">I41+I58+I75</f>
        <v>4300000</v>
      </c>
      <c r="J40" s="98">
        <f t="shared" si="14"/>
        <v>66740.600000000006</v>
      </c>
      <c r="K40" s="73">
        <f>K41+K58+K75</f>
        <v>16271156.42</v>
      </c>
      <c r="L40" s="73">
        <f>L41+L58+L75</f>
        <v>98640.000000000087</v>
      </c>
      <c r="M40" s="73">
        <f t="shared" ref="M40:M59" si="15">K40*100/C40</f>
        <v>98.993823335178419</v>
      </c>
      <c r="N40" s="394"/>
    </row>
    <row r="41" spans="1:16" ht="22.5" customHeight="1" x14ac:dyDescent="0.2">
      <c r="A41" s="756" t="s">
        <v>201</v>
      </c>
      <c r="B41" s="757"/>
      <c r="C41" s="98">
        <f>D41+E41</f>
        <v>5604037.0199999996</v>
      </c>
      <c r="D41" s="98">
        <f t="shared" ref="D41:E41" si="16">D42+D47+D54</f>
        <v>3516037.02</v>
      </c>
      <c r="E41" s="98">
        <f t="shared" si="16"/>
        <v>2088000</v>
      </c>
      <c r="F41" s="584"/>
      <c r="G41" s="588"/>
      <c r="H41" s="588"/>
      <c r="I41" s="98">
        <f t="shared" ref="I41:J41" si="17">I42+I47+I54</f>
        <v>2088000</v>
      </c>
      <c r="J41" s="98">
        <f t="shared" si="17"/>
        <v>66740.600000000006</v>
      </c>
      <c r="K41" s="59">
        <f>K42+K47+K54</f>
        <v>5473456.4199999999</v>
      </c>
      <c r="L41" s="59">
        <f>L42+L47+L54</f>
        <v>63840.000000000095</v>
      </c>
      <c r="M41" s="59">
        <f t="shared" si="15"/>
        <v>97.669883344203896</v>
      </c>
      <c r="N41" s="395"/>
    </row>
    <row r="42" spans="1:16" ht="57.75" customHeight="1" x14ac:dyDescent="0.2">
      <c r="A42" s="5">
        <v>28</v>
      </c>
      <c r="B42" s="76" t="s">
        <v>530</v>
      </c>
      <c r="C42" s="115">
        <f>D42+E42</f>
        <v>1115000</v>
      </c>
      <c r="D42" s="589">
        <f>D43</f>
        <v>1006000</v>
      </c>
      <c r="E42" s="589">
        <f>E44</f>
        <v>109000</v>
      </c>
      <c r="F42" s="583" t="s">
        <v>353</v>
      </c>
      <c r="G42" s="583"/>
      <c r="H42" s="583"/>
      <c r="I42" s="69">
        <f>I43+I44</f>
        <v>109000</v>
      </c>
      <c r="J42" s="69">
        <f>J43+J44</f>
        <v>20000</v>
      </c>
      <c r="K42" s="69">
        <f>K43+K44</f>
        <v>1095000</v>
      </c>
      <c r="L42" s="69">
        <f>L43+L44</f>
        <v>0</v>
      </c>
      <c r="M42" s="69">
        <v>100</v>
      </c>
      <c r="N42" s="85" t="s">
        <v>10</v>
      </c>
      <c r="P42" s="123">
        <v>178308300</v>
      </c>
    </row>
    <row r="43" spans="1:16" ht="22.5" customHeight="1" x14ac:dyDescent="0.2">
      <c r="A43" s="5"/>
      <c r="B43" s="66" t="s">
        <v>81</v>
      </c>
      <c r="C43" s="115">
        <f>D43</f>
        <v>1006000</v>
      </c>
      <c r="D43" s="589">
        <f>1116000-20800-89200</f>
        <v>1006000</v>
      </c>
      <c r="E43" s="589"/>
      <c r="F43" s="583"/>
      <c r="G43" s="583"/>
      <c r="H43" s="583"/>
      <c r="I43" s="69"/>
      <c r="J43" s="69">
        <v>20000</v>
      </c>
      <c r="K43" s="69">
        <f>87200+100000+156120+69120+99000+100000+9960+14880+10000+6400+10000+181200+5800+16320+90000+30000</f>
        <v>986000</v>
      </c>
      <c r="L43" s="69">
        <f>D43-K43-J43</f>
        <v>0</v>
      </c>
      <c r="M43" s="69">
        <v>100</v>
      </c>
      <c r="N43" s="85"/>
    </row>
    <row r="44" spans="1:16" ht="22.5" customHeight="1" x14ac:dyDescent="0.2">
      <c r="A44" s="5"/>
      <c r="B44" s="66" t="s">
        <v>250</v>
      </c>
      <c r="C44" s="115">
        <f>E44</f>
        <v>109000</v>
      </c>
      <c r="D44" s="589"/>
      <c r="E44" s="589">
        <f>E45+E46</f>
        <v>109000</v>
      </c>
      <c r="F44" s="583"/>
      <c r="G44" s="583"/>
      <c r="H44" s="583"/>
      <c r="I44" s="69">
        <f>I45+I46</f>
        <v>109000</v>
      </c>
      <c r="J44" s="69">
        <f>J45+J46</f>
        <v>0</v>
      </c>
      <c r="K44" s="69">
        <f>K45+K46</f>
        <v>109000</v>
      </c>
      <c r="L44" s="69">
        <f>L45+L46</f>
        <v>0</v>
      </c>
      <c r="M44" s="69">
        <f>K44*100/E44</f>
        <v>100</v>
      </c>
      <c r="N44" s="85"/>
    </row>
    <row r="45" spans="1:16" ht="36.75" customHeight="1" x14ac:dyDescent="0.2">
      <c r="A45" s="5"/>
      <c r="B45" s="66" t="s">
        <v>257</v>
      </c>
      <c r="C45" s="115">
        <f>E45</f>
        <v>80000</v>
      </c>
      <c r="D45" s="589"/>
      <c r="E45" s="589">
        <v>80000</v>
      </c>
      <c r="F45" s="583" t="s">
        <v>353</v>
      </c>
      <c r="G45" s="583"/>
      <c r="H45" s="583"/>
      <c r="I45" s="69">
        <v>80000</v>
      </c>
      <c r="J45" s="69">
        <f>E45-I45</f>
        <v>0</v>
      </c>
      <c r="K45" s="69">
        <v>80000</v>
      </c>
      <c r="L45" s="69">
        <f>E45-K45</f>
        <v>0</v>
      </c>
      <c r="M45" s="69">
        <f t="shared" ref="M45:M46" si="18">K45*100/E45</f>
        <v>100</v>
      </c>
      <c r="N45" s="85" t="s">
        <v>254</v>
      </c>
      <c r="P45" s="1">
        <v>80000</v>
      </c>
    </row>
    <row r="46" spans="1:16" ht="36.75" customHeight="1" x14ac:dyDescent="0.2">
      <c r="A46" s="5"/>
      <c r="B46" s="66" t="s">
        <v>258</v>
      </c>
      <c r="C46" s="115">
        <f>E46</f>
        <v>29000</v>
      </c>
      <c r="D46" s="589"/>
      <c r="E46" s="589">
        <v>29000</v>
      </c>
      <c r="F46" s="583" t="s">
        <v>353</v>
      </c>
      <c r="G46" s="583"/>
      <c r="H46" s="583"/>
      <c r="I46" s="69">
        <v>29000</v>
      </c>
      <c r="J46" s="69">
        <f>E46-I46</f>
        <v>0</v>
      </c>
      <c r="K46" s="69">
        <v>29000</v>
      </c>
      <c r="L46" s="69">
        <f>E46-K46</f>
        <v>0</v>
      </c>
      <c r="M46" s="69">
        <f t="shared" si="18"/>
        <v>100</v>
      </c>
      <c r="N46" s="85" t="s">
        <v>256</v>
      </c>
      <c r="P46" s="1">
        <v>29000</v>
      </c>
    </row>
    <row r="47" spans="1:16" ht="56.25" customHeight="1" x14ac:dyDescent="0.2">
      <c r="A47" s="5">
        <v>29</v>
      </c>
      <c r="B47" s="76" t="s">
        <v>531</v>
      </c>
      <c r="C47" s="98">
        <f t="shared" ref="C47:C81" si="19">D47+E47</f>
        <v>3309910</v>
      </c>
      <c r="D47" s="59">
        <f>D48</f>
        <v>1413910</v>
      </c>
      <c r="E47" s="59">
        <f>E49</f>
        <v>1896000</v>
      </c>
      <c r="F47" s="583" t="s">
        <v>353</v>
      </c>
      <c r="G47" s="588"/>
      <c r="H47" s="588"/>
      <c r="I47" s="59">
        <f>I48+I49</f>
        <v>1896000</v>
      </c>
      <c r="J47" s="59">
        <f>J48+J49</f>
        <v>19200</v>
      </c>
      <c r="K47" s="59">
        <f>K48+K49</f>
        <v>3290710</v>
      </c>
      <c r="L47" s="59">
        <f>L48+L49</f>
        <v>0</v>
      </c>
      <c r="M47" s="59">
        <v>100</v>
      </c>
      <c r="N47" s="396" t="s">
        <v>10</v>
      </c>
    </row>
    <row r="48" spans="1:16" ht="24.75" customHeight="1" x14ac:dyDescent="0.2">
      <c r="A48" s="5"/>
      <c r="B48" s="66" t="s">
        <v>81</v>
      </c>
      <c r="C48" s="115">
        <f>D48</f>
        <v>1413910</v>
      </c>
      <c r="D48" s="69">
        <f>1474400-60490</f>
        <v>1413910</v>
      </c>
      <c r="E48" s="69"/>
      <c r="F48" s="584"/>
      <c r="G48" s="583"/>
      <c r="H48" s="583"/>
      <c r="I48" s="69">
        <v>0</v>
      </c>
      <c r="J48" s="69">
        <f>19000+200</f>
        <v>19200</v>
      </c>
      <c r="K48" s="69">
        <f>156120+69120+440000+9960+4080+5000+23410+4400+10000+645000+1700+5520+20400</f>
        <v>1394710</v>
      </c>
      <c r="L48" s="69">
        <f>D48-K48-J48</f>
        <v>0</v>
      </c>
      <c r="M48" s="69">
        <v>100</v>
      </c>
      <c r="N48" s="85"/>
    </row>
    <row r="49" spans="1:16" ht="26.25" customHeight="1" x14ac:dyDescent="0.2">
      <c r="A49" s="5"/>
      <c r="B49" s="66" t="s">
        <v>250</v>
      </c>
      <c r="C49" s="115">
        <f>E49</f>
        <v>1896000</v>
      </c>
      <c r="D49" s="69"/>
      <c r="E49" s="69">
        <f>E50+E51+E52+E53</f>
        <v>1896000</v>
      </c>
      <c r="F49" s="584"/>
      <c r="G49" s="583"/>
      <c r="H49" s="583"/>
      <c r="I49" s="69">
        <f>I50+I51+I52+I53</f>
        <v>1896000</v>
      </c>
      <c r="J49" s="69">
        <f>J50+J51+J52+J53</f>
        <v>0</v>
      </c>
      <c r="K49" s="69">
        <f>K50+K51+K52+K53</f>
        <v>1896000</v>
      </c>
      <c r="L49" s="69">
        <f>L50+L51+L52+L53</f>
        <v>0</v>
      </c>
      <c r="M49" s="69">
        <v>100</v>
      </c>
      <c r="N49" s="85"/>
    </row>
    <row r="50" spans="1:16" ht="58.5" customHeight="1" x14ac:dyDescent="0.2">
      <c r="A50" s="5"/>
      <c r="B50" s="66" t="s">
        <v>251</v>
      </c>
      <c r="C50" s="115">
        <f>E50</f>
        <v>30000</v>
      </c>
      <c r="D50" s="69"/>
      <c r="E50" s="69">
        <v>30000</v>
      </c>
      <c r="F50" s="583" t="s">
        <v>353</v>
      </c>
      <c r="G50" s="583" t="s">
        <v>315</v>
      </c>
      <c r="H50" s="583" t="s">
        <v>316</v>
      </c>
      <c r="I50" s="69">
        <v>30000</v>
      </c>
      <c r="J50" s="69">
        <f>E50-I50</f>
        <v>0</v>
      </c>
      <c r="K50" s="69">
        <v>30000</v>
      </c>
      <c r="L50" s="69">
        <f>E50-K50</f>
        <v>0</v>
      </c>
      <c r="M50" s="69">
        <f t="shared" ref="M50:M51" si="20">K50*100/E50</f>
        <v>100</v>
      </c>
      <c r="N50" s="85" t="s">
        <v>10</v>
      </c>
    </row>
    <row r="51" spans="1:16" ht="72.75" customHeight="1" x14ac:dyDescent="0.2">
      <c r="A51" s="5"/>
      <c r="B51" s="66" t="s">
        <v>252</v>
      </c>
      <c r="C51" s="115">
        <f t="shared" ref="C51:C53" si="21">E51</f>
        <v>1680000</v>
      </c>
      <c r="D51" s="69"/>
      <c r="E51" s="69">
        <f>1700000-20000</f>
        <v>1680000</v>
      </c>
      <c r="F51" s="583" t="s">
        <v>353</v>
      </c>
      <c r="G51" s="583" t="s">
        <v>279</v>
      </c>
      <c r="H51" s="583" t="s">
        <v>317</v>
      </c>
      <c r="I51" s="69">
        <v>1680000</v>
      </c>
      <c r="J51" s="84">
        <f>E51-I51</f>
        <v>0</v>
      </c>
      <c r="K51" s="69">
        <v>1680000</v>
      </c>
      <c r="L51" s="69">
        <f>I51-K51</f>
        <v>0</v>
      </c>
      <c r="M51" s="69">
        <f t="shared" si="20"/>
        <v>100</v>
      </c>
      <c r="N51" s="85" t="s">
        <v>10</v>
      </c>
    </row>
    <row r="52" spans="1:16" ht="69" x14ac:dyDescent="0.2">
      <c r="A52" s="5"/>
      <c r="B52" s="66" t="s">
        <v>253</v>
      </c>
      <c r="C52" s="115">
        <f t="shared" si="21"/>
        <v>120000</v>
      </c>
      <c r="D52" s="69"/>
      <c r="E52" s="69">
        <f>120000</f>
        <v>120000</v>
      </c>
      <c r="F52" s="583" t="s">
        <v>353</v>
      </c>
      <c r="G52" s="583" t="s">
        <v>320</v>
      </c>
      <c r="H52" s="583" t="s">
        <v>319</v>
      </c>
      <c r="I52" s="69">
        <v>120000</v>
      </c>
      <c r="J52" s="69">
        <v>0</v>
      </c>
      <c r="K52" s="69">
        <v>120000</v>
      </c>
      <c r="L52" s="69">
        <v>0</v>
      </c>
      <c r="M52" s="69">
        <v>100</v>
      </c>
      <c r="N52" s="85" t="s">
        <v>254</v>
      </c>
      <c r="P52" s="1">
        <v>170000</v>
      </c>
    </row>
    <row r="53" spans="1:16" ht="34.5" x14ac:dyDescent="0.2">
      <c r="A53" s="5"/>
      <c r="B53" s="66" t="s">
        <v>255</v>
      </c>
      <c r="C53" s="115">
        <f t="shared" si="21"/>
        <v>66000</v>
      </c>
      <c r="D53" s="69"/>
      <c r="E53" s="69">
        <v>66000</v>
      </c>
      <c r="F53" s="583" t="s">
        <v>353</v>
      </c>
      <c r="G53" s="590" t="s">
        <v>321</v>
      </c>
      <c r="H53" s="583" t="s">
        <v>322</v>
      </c>
      <c r="I53" s="69">
        <v>66000</v>
      </c>
      <c r="J53" s="69">
        <f>E53-I53</f>
        <v>0</v>
      </c>
      <c r="K53" s="69">
        <v>66000</v>
      </c>
      <c r="L53" s="69">
        <f t="shared" ref="L53" si="22">E53-K53</f>
        <v>0</v>
      </c>
      <c r="M53" s="69">
        <v>100</v>
      </c>
      <c r="N53" s="85" t="s">
        <v>256</v>
      </c>
      <c r="P53" s="1">
        <v>66000</v>
      </c>
    </row>
    <row r="54" spans="1:16" ht="60" customHeight="1" x14ac:dyDescent="0.2">
      <c r="A54" s="5">
        <v>30</v>
      </c>
      <c r="B54" s="76" t="s">
        <v>285</v>
      </c>
      <c r="C54" s="98">
        <f t="shared" si="19"/>
        <v>1179127.02</v>
      </c>
      <c r="D54" s="73">
        <f>D55</f>
        <v>1096127.02</v>
      </c>
      <c r="E54" s="59">
        <f>E56</f>
        <v>83000</v>
      </c>
      <c r="F54" s="583" t="s">
        <v>738</v>
      </c>
      <c r="G54" s="588"/>
      <c r="H54" s="588"/>
      <c r="I54" s="59">
        <f>I55+I56</f>
        <v>83000</v>
      </c>
      <c r="J54" s="59">
        <f>J55+J56</f>
        <v>27540.6</v>
      </c>
      <c r="K54" s="59">
        <f>K55+K56</f>
        <v>1087746.42</v>
      </c>
      <c r="L54" s="59">
        <f>L55+L56</f>
        <v>63840.000000000095</v>
      </c>
      <c r="M54" s="59">
        <f t="shared" si="15"/>
        <v>92.250147910273483</v>
      </c>
      <c r="N54" s="396" t="s">
        <v>10</v>
      </c>
    </row>
    <row r="55" spans="1:16" ht="25.5" customHeight="1" x14ac:dyDescent="0.2">
      <c r="A55" s="77"/>
      <c r="B55" s="107" t="s">
        <v>81</v>
      </c>
      <c r="C55" s="115">
        <f>D55</f>
        <v>1096127.02</v>
      </c>
      <c r="D55" s="577">
        <f>1160000-63000-870.98-2</f>
        <v>1096127.02</v>
      </c>
      <c r="E55" s="69"/>
      <c r="F55" s="583"/>
      <c r="G55" s="583"/>
      <c r="H55" s="583"/>
      <c r="I55" s="69"/>
      <c r="J55" s="84">
        <f>27538.92-2+3.68</f>
        <v>27540.6</v>
      </c>
      <c r="K55" s="69">
        <f>63000+3249.45+63000+1500+3260.97+9000+9000+9000+9000+9000+9000+9000+3369+9225+1180+15750+30250+48000+18000+9000+9000+9000+9000+9000+9000+9000+2000+9000+9000+9000+9000+9000+9000+9000+9000+9000+9000+9000+9000+9000+9000+2000+3890.35+98000+4000+9000+9000+9000+9000+8709.67+8419.35+12396.19+9000+49006+4423.62+63000+63000+2000+2000+7212.59+2500+11770+31190.5+63000+7443.73+2000</f>
        <v>1004746.4199999999</v>
      </c>
      <c r="L55" s="69">
        <f>D55-K55-J55</f>
        <v>63840.000000000095</v>
      </c>
      <c r="M55" s="69">
        <f>K55*100/D55</f>
        <v>91.663320187107516</v>
      </c>
      <c r="N55" s="85"/>
    </row>
    <row r="56" spans="1:16" ht="21.75" customHeight="1" x14ac:dyDescent="0.2">
      <c r="A56" s="77"/>
      <c r="B56" s="78" t="s">
        <v>80</v>
      </c>
      <c r="C56" s="115">
        <f>E56</f>
        <v>83000</v>
      </c>
      <c r="D56" s="577"/>
      <c r="E56" s="69">
        <f>E57</f>
        <v>83000</v>
      </c>
      <c r="F56" s="584"/>
      <c r="G56" s="583"/>
      <c r="H56" s="583"/>
      <c r="I56" s="69">
        <f>I57</f>
        <v>83000</v>
      </c>
      <c r="J56" s="69">
        <f>J57</f>
        <v>0</v>
      </c>
      <c r="K56" s="69">
        <f>K57</f>
        <v>83000</v>
      </c>
      <c r="L56" s="69">
        <f>L57</f>
        <v>0</v>
      </c>
      <c r="M56" s="69">
        <f>K56*100/E56</f>
        <v>100</v>
      </c>
      <c r="N56" s="85"/>
    </row>
    <row r="57" spans="1:16" ht="69" customHeight="1" x14ac:dyDescent="0.2">
      <c r="A57" s="77"/>
      <c r="B57" s="78" t="s">
        <v>259</v>
      </c>
      <c r="C57" s="115">
        <f>E57</f>
        <v>83000</v>
      </c>
      <c r="D57" s="577"/>
      <c r="E57" s="69">
        <v>83000</v>
      </c>
      <c r="F57" s="583" t="s">
        <v>353</v>
      </c>
      <c r="G57" s="583" t="s">
        <v>318</v>
      </c>
      <c r="H57" s="583" t="s">
        <v>652</v>
      </c>
      <c r="I57" s="69">
        <v>83000</v>
      </c>
      <c r="J57" s="69">
        <f>E57-I57</f>
        <v>0</v>
      </c>
      <c r="K57" s="69">
        <v>83000</v>
      </c>
      <c r="L57" s="69">
        <f>E57-K57</f>
        <v>0</v>
      </c>
      <c r="M57" s="69">
        <f>K57*100/E57</f>
        <v>100</v>
      </c>
      <c r="N57" s="85" t="s">
        <v>260</v>
      </c>
      <c r="P57" s="1">
        <v>83000</v>
      </c>
    </row>
    <row r="58" spans="1:16" ht="23.25" customHeight="1" x14ac:dyDescent="0.2">
      <c r="A58" s="770" t="s">
        <v>202</v>
      </c>
      <c r="B58" s="770"/>
      <c r="C58" s="98">
        <f>D58+E58</f>
        <v>10252600</v>
      </c>
      <c r="D58" s="98">
        <f t="shared" ref="D58:E58" si="23">D59+D63+D68+D74</f>
        <v>7954600</v>
      </c>
      <c r="E58" s="98">
        <f t="shared" si="23"/>
        <v>2298000</v>
      </c>
      <c r="F58" s="584"/>
      <c r="G58" s="588"/>
      <c r="H58" s="588"/>
      <c r="I58" s="98">
        <f t="shared" ref="I58:J58" si="24">I59+I63+I68+I74</f>
        <v>2212000</v>
      </c>
      <c r="J58" s="98">
        <f t="shared" si="24"/>
        <v>0</v>
      </c>
      <c r="K58" s="59">
        <f>K59+K63+K68+K74</f>
        <v>10217800</v>
      </c>
      <c r="L58" s="59">
        <f>L59+L63+L68+L74</f>
        <v>34800</v>
      </c>
      <c r="M58" s="59">
        <f t="shared" si="15"/>
        <v>99.660573903205034</v>
      </c>
      <c r="N58" s="397"/>
    </row>
    <row r="59" spans="1:16" ht="35.25" customHeight="1" x14ac:dyDescent="0.35">
      <c r="A59" s="5">
        <v>31</v>
      </c>
      <c r="B59" s="71" t="s">
        <v>11</v>
      </c>
      <c r="C59" s="115">
        <f t="shared" si="19"/>
        <v>1950000</v>
      </c>
      <c r="D59" s="69">
        <f>D60</f>
        <v>1200000</v>
      </c>
      <c r="E59" s="69">
        <f>E61</f>
        <v>750000</v>
      </c>
      <c r="F59" s="583" t="s">
        <v>738</v>
      </c>
      <c r="G59" s="583"/>
      <c r="H59" s="583"/>
      <c r="I59" s="69">
        <f>I62</f>
        <v>750000</v>
      </c>
      <c r="J59" s="69">
        <f>J60+J62</f>
        <v>0</v>
      </c>
      <c r="K59" s="79">
        <f>K60+K61</f>
        <v>1936200</v>
      </c>
      <c r="L59" s="79">
        <f>L60+L61</f>
        <v>13800</v>
      </c>
      <c r="M59" s="79">
        <f t="shared" si="15"/>
        <v>99.292307692307688</v>
      </c>
      <c r="N59" s="85" t="s">
        <v>12</v>
      </c>
    </row>
    <row r="60" spans="1:16" ht="24" customHeight="1" x14ac:dyDescent="0.35">
      <c r="A60" s="5"/>
      <c r="B60" s="71" t="s">
        <v>81</v>
      </c>
      <c r="C60" s="115">
        <f>D60</f>
        <v>1200000</v>
      </c>
      <c r="D60" s="69">
        <v>1200000</v>
      </c>
      <c r="E60" s="69"/>
      <c r="F60" s="584"/>
      <c r="G60" s="583"/>
      <c r="H60" s="583"/>
      <c r="I60" s="69"/>
      <c r="J60" s="69"/>
      <c r="K60" s="79">
        <f>178500+8700+90000+300000+3000+300000+300000+6000</f>
        <v>1186200</v>
      </c>
      <c r="L60" s="79">
        <f>D60-K60</f>
        <v>13800</v>
      </c>
      <c r="M60" s="79">
        <f>K60*100/D60</f>
        <v>98.85</v>
      </c>
      <c r="N60" s="85"/>
    </row>
    <row r="61" spans="1:16" ht="24" customHeight="1" x14ac:dyDescent="0.35">
      <c r="A61" s="5"/>
      <c r="B61" s="71" t="s">
        <v>80</v>
      </c>
      <c r="C61" s="115"/>
      <c r="D61" s="69"/>
      <c r="E61" s="69">
        <f>E62</f>
        <v>750000</v>
      </c>
      <c r="F61" s="584"/>
      <c r="G61" s="583"/>
      <c r="H61" s="583"/>
      <c r="I61" s="69"/>
      <c r="J61" s="69"/>
      <c r="K61" s="79">
        <f>K62</f>
        <v>750000</v>
      </c>
      <c r="L61" s="79">
        <f>L62</f>
        <v>0</v>
      </c>
      <c r="M61" s="79">
        <v>0</v>
      </c>
      <c r="N61" s="85"/>
    </row>
    <row r="62" spans="1:16" ht="51.75" x14ac:dyDescent="0.35">
      <c r="A62" s="5"/>
      <c r="B62" s="71" t="s">
        <v>292</v>
      </c>
      <c r="C62" s="115">
        <f>E62</f>
        <v>750000</v>
      </c>
      <c r="D62" s="69"/>
      <c r="E62" s="69">
        <f>755600+44400-50000</f>
        <v>750000</v>
      </c>
      <c r="F62" s="583" t="s">
        <v>353</v>
      </c>
      <c r="G62" s="583" t="s">
        <v>352</v>
      </c>
      <c r="H62" s="583" t="s">
        <v>651</v>
      </c>
      <c r="I62" s="69">
        <v>750000</v>
      </c>
      <c r="J62" s="69">
        <v>0</v>
      </c>
      <c r="K62" s="79">
        <v>750000</v>
      </c>
      <c r="L62" s="79">
        <f>I62-K62</f>
        <v>0</v>
      </c>
      <c r="M62" s="79">
        <f>K62*100/I62</f>
        <v>100</v>
      </c>
      <c r="N62" s="85"/>
    </row>
    <row r="63" spans="1:16" ht="36.75" customHeight="1" x14ac:dyDescent="0.35">
      <c r="A63" s="5">
        <v>32</v>
      </c>
      <c r="B63" s="80" t="s">
        <v>13</v>
      </c>
      <c r="C63" s="115">
        <f t="shared" si="19"/>
        <v>2052000</v>
      </c>
      <c r="D63" s="69">
        <v>1590000</v>
      </c>
      <c r="E63" s="69">
        <f>E65</f>
        <v>462000</v>
      </c>
      <c r="F63" s="583" t="s">
        <v>738</v>
      </c>
      <c r="G63" s="583"/>
      <c r="H63" s="583"/>
      <c r="I63" s="69">
        <f>I65</f>
        <v>462000</v>
      </c>
      <c r="J63" s="69">
        <f>J65</f>
        <v>0</v>
      </c>
      <c r="K63" s="79">
        <f>K64+K65</f>
        <v>2031000</v>
      </c>
      <c r="L63" s="79">
        <f>L64+L65</f>
        <v>21000</v>
      </c>
      <c r="M63" s="79">
        <f t="shared" ref="M63:M74" si="25">K63*100/C63</f>
        <v>98.976608187134502</v>
      </c>
      <c r="N63" s="85" t="s">
        <v>14</v>
      </c>
    </row>
    <row r="64" spans="1:16" ht="22.5" customHeight="1" x14ac:dyDescent="0.35">
      <c r="A64" s="5"/>
      <c r="B64" s="80" t="s">
        <v>290</v>
      </c>
      <c r="C64" s="115">
        <f>D64</f>
        <v>1590000</v>
      </c>
      <c r="D64" s="69">
        <v>1590000</v>
      </c>
      <c r="E64" s="69"/>
      <c r="F64" s="584"/>
      <c r="G64" s="583"/>
      <c r="H64" s="583"/>
      <c r="I64" s="69"/>
      <c r="J64" s="69"/>
      <c r="K64" s="79">
        <f>589400+28600+21000+210000+212100+300000+207900</f>
        <v>1569000</v>
      </c>
      <c r="L64" s="79">
        <f>D64-K64</f>
        <v>21000</v>
      </c>
      <c r="M64" s="79">
        <f>K64*100/D64</f>
        <v>98.679245283018872</v>
      </c>
      <c r="N64" s="85"/>
    </row>
    <row r="65" spans="1:15" ht="23.25" customHeight="1" x14ac:dyDescent="0.35">
      <c r="A65" s="5"/>
      <c r="B65" s="80" t="s">
        <v>250</v>
      </c>
      <c r="C65" s="115">
        <f>E65</f>
        <v>462000</v>
      </c>
      <c r="D65" s="69"/>
      <c r="E65" s="69">
        <f>E66+E67</f>
        <v>462000</v>
      </c>
      <c r="F65" s="583" t="s">
        <v>353</v>
      </c>
      <c r="G65" s="583"/>
      <c r="H65" s="583"/>
      <c r="I65" s="69">
        <f>I66+I67</f>
        <v>462000</v>
      </c>
      <c r="J65" s="69">
        <f>J66+J67</f>
        <v>0</v>
      </c>
      <c r="K65" s="79">
        <f>K66+K67</f>
        <v>462000</v>
      </c>
      <c r="L65" s="79">
        <f>L66+L67</f>
        <v>0</v>
      </c>
      <c r="M65" s="79">
        <v>100</v>
      </c>
      <c r="N65" s="85"/>
    </row>
    <row r="66" spans="1:15" ht="39.75" customHeight="1" x14ac:dyDescent="0.35">
      <c r="A66" s="5"/>
      <c r="B66" s="66" t="s">
        <v>341</v>
      </c>
      <c r="C66" s="115">
        <f>E66</f>
        <v>224000</v>
      </c>
      <c r="D66" s="69"/>
      <c r="E66" s="69">
        <f>238000-14000</f>
        <v>224000</v>
      </c>
      <c r="F66" s="584"/>
      <c r="G66" s="763" t="s">
        <v>327</v>
      </c>
      <c r="H66" s="583" t="s">
        <v>328</v>
      </c>
      <c r="I66" s="69">
        <v>224000</v>
      </c>
      <c r="J66" s="69">
        <v>0</v>
      </c>
      <c r="K66" s="79">
        <v>224000</v>
      </c>
      <c r="L66" s="79">
        <v>0</v>
      </c>
      <c r="M66" s="79">
        <v>100</v>
      </c>
      <c r="N66" s="85"/>
      <c r="O66" s="103"/>
    </row>
    <row r="67" spans="1:15" ht="33" customHeight="1" x14ac:dyDescent="0.35">
      <c r="A67" s="5"/>
      <c r="B67" s="66" t="s">
        <v>291</v>
      </c>
      <c r="C67" s="115">
        <f>E67</f>
        <v>238000</v>
      </c>
      <c r="D67" s="69"/>
      <c r="E67" s="69">
        <v>238000</v>
      </c>
      <c r="F67" s="584"/>
      <c r="G67" s="764"/>
      <c r="H67" s="583" t="s">
        <v>328</v>
      </c>
      <c r="I67" s="69">
        <v>238000</v>
      </c>
      <c r="J67" s="69">
        <f>E67-I67</f>
        <v>0</v>
      </c>
      <c r="K67" s="79">
        <v>238000</v>
      </c>
      <c r="L67" s="79">
        <v>0</v>
      </c>
      <c r="M67" s="79">
        <f>K67*100/E67</f>
        <v>100</v>
      </c>
      <c r="N67" s="85"/>
    </row>
    <row r="68" spans="1:15" ht="36" customHeight="1" x14ac:dyDescent="0.35">
      <c r="A68" s="5">
        <v>33</v>
      </c>
      <c r="B68" s="66" t="s">
        <v>15</v>
      </c>
      <c r="C68" s="115">
        <f t="shared" si="19"/>
        <v>1795600</v>
      </c>
      <c r="D68" s="69">
        <f>D69</f>
        <v>709600</v>
      </c>
      <c r="E68" s="69">
        <f>E70</f>
        <v>1086000</v>
      </c>
      <c r="F68" s="583" t="s">
        <v>353</v>
      </c>
      <c r="G68" s="583"/>
      <c r="H68" s="583"/>
      <c r="I68" s="69">
        <f>I70</f>
        <v>1000000</v>
      </c>
      <c r="J68" s="69">
        <f>J70</f>
        <v>0</v>
      </c>
      <c r="K68" s="79">
        <f>K69+K70</f>
        <v>1795600</v>
      </c>
      <c r="L68" s="79">
        <f>L69+L70</f>
        <v>0</v>
      </c>
      <c r="M68" s="79">
        <f t="shared" si="25"/>
        <v>100</v>
      </c>
      <c r="N68" s="85" t="s">
        <v>14</v>
      </c>
      <c r="O68" s="103"/>
    </row>
    <row r="69" spans="1:15" ht="24.75" customHeight="1" x14ac:dyDescent="0.35">
      <c r="A69" s="5"/>
      <c r="B69" s="66" t="s">
        <v>290</v>
      </c>
      <c r="C69" s="115">
        <f>D69</f>
        <v>709600</v>
      </c>
      <c r="D69" s="69">
        <v>709600</v>
      </c>
      <c r="E69" s="69"/>
      <c r="F69" s="584"/>
      <c r="G69" s="583"/>
      <c r="H69" s="583"/>
      <c r="I69" s="69"/>
      <c r="J69" s="69"/>
      <c r="K69" s="79">
        <f>8000+1600+40000+40000+40000+40000+40000+500000</f>
        <v>709600</v>
      </c>
      <c r="L69" s="79">
        <f>D69-K69</f>
        <v>0</v>
      </c>
      <c r="M69" s="79">
        <f>K69*100/D69</f>
        <v>100</v>
      </c>
      <c r="N69" s="85"/>
    </row>
    <row r="70" spans="1:15" ht="23.25" customHeight="1" x14ac:dyDescent="0.35">
      <c r="A70" s="5"/>
      <c r="B70" s="66" t="s">
        <v>289</v>
      </c>
      <c r="C70" s="115">
        <f>E70</f>
        <v>1086000</v>
      </c>
      <c r="D70" s="69"/>
      <c r="E70" s="69">
        <f>E71+E72+E73</f>
        <v>1086000</v>
      </c>
      <c r="F70" s="584"/>
      <c r="G70" s="583"/>
      <c r="H70" s="583"/>
      <c r="I70" s="69">
        <f>I71+I72+I73</f>
        <v>1000000</v>
      </c>
      <c r="J70" s="69">
        <f>J71+J72+J73</f>
        <v>0</v>
      </c>
      <c r="K70" s="69">
        <f>K71+K72+K73</f>
        <v>1086000</v>
      </c>
      <c r="L70" s="69">
        <f>L71+L72+L73</f>
        <v>0</v>
      </c>
      <c r="M70" s="79">
        <f>K70*100/E70</f>
        <v>100</v>
      </c>
      <c r="N70" s="85"/>
    </row>
    <row r="71" spans="1:15" ht="40.5" customHeight="1" x14ac:dyDescent="0.35">
      <c r="A71" s="5"/>
      <c r="B71" s="66" t="s">
        <v>286</v>
      </c>
      <c r="C71" s="115">
        <f>E71</f>
        <v>500000</v>
      </c>
      <c r="D71" s="69"/>
      <c r="E71" s="69">
        <v>500000</v>
      </c>
      <c r="F71" s="584" t="s">
        <v>353</v>
      </c>
      <c r="G71" s="583" t="s">
        <v>329</v>
      </c>
      <c r="H71" s="583" t="s">
        <v>650</v>
      </c>
      <c r="I71" s="69">
        <v>500000</v>
      </c>
      <c r="J71" s="69">
        <v>0</v>
      </c>
      <c r="K71" s="79">
        <v>500000</v>
      </c>
      <c r="L71" s="79">
        <f>E71-K71</f>
        <v>0</v>
      </c>
      <c r="M71" s="79">
        <f>K71*100/E71</f>
        <v>100</v>
      </c>
      <c r="N71" s="85"/>
    </row>
    <row r="72" spans="1:15" ht="51.75" x14ac:dyDescent="0.35">
      <c r="A72" s="5"/>
      <c r="B72" s="66" t="s">
        <v>287</v>
      </c>
      <c r="C72" s="115">
        <f>E72</f>
        <v>86000</v>
      </c>
      <c r="D72" s="69"/>
      <c r="E72" s="69">
        <v>86000</v>
      </c>
      <c r="F72" s="584" t="s">
        <v>353</v>
      </c>
      <c r="G72" s="583" t="s">
        <v>330</v>
      </c>
      <c r="H72" s="583"/>
      <c r="I72" s="69"/>
      <c r="J72" s="69">
        <v>0</v>
      </c>
      <c r="K72" s="79">
        <v>86000</v>
      </c>
      <c r="L72" s="79">
        <f t="shared" ref="L72:L73" si="26">E72-K72</f>
        <v>0</v>
      </c>
      <c r="M72" s="79">
        <v>100</v>
      </c>
      <c r="N72" s="85"/>
    </row>
    <row r="73" spans="1:15" ht="37.5" x14ac:dyDescent="0.35">
      <c r="A73" s="5"/>
      <c r="B73" s="66" t="s">
        <v>288</v>
      </c>
      <c r="C73" s="115">
        <f>E73</f>
        <v>500000</v>
      </c>
      <c r="D73" s="69"/>
      <c r="E73" s="69">
        <v>500000</v>
      </c>
      <c r="F73" s="584" t="s">
        <v>353</v>
      </c>
      <c r="G73" s="583" t="s">
        <v>331</v>
      </c>
      <c r="H73" s="583" t="s">
        <v>650</v>
      </c>
      <c r="I73" s="69">
        <v>500000</v>
      </c>
      <c r="J73" s="69">
        <v>0</v>
      </c>
      <c r="K73" s="79">
        <v>500000</v>
      </c>
      <c r="L73" s="79">
        <f t="shared" si="26"/>
        <v>0</v>
      </c>
      <c r="M73" s="79">
        <v>100</v>
      </c>
      <c r="N73" s="85"/>
    </row>
    <row r="74" spans="1:15" ht="36.75" customHeight="1" x14ac:dyDescent="0.35">
      <c r="A74" s="5">
        <v>34</v>
      </c>
      <c r="B74" s="66" t="s">
        <v>16</v>
      </c>
      <c r="C74" s="115">
        <f t="shared" si="19"/>
        <v>4455000</v>
      </c>
      <c r="D74" s="577">
        <v>4455000</v>
      </c>
      <c r="E74" s="69">
        <v>0</v>
      </c>
      <c r="F74" s="583" t="s">
        <v>353</v>
      </c>
      <c r="G74" s="583"/>
      <c r="H74" s="583"/>
      <c r="I74" s="69"/>
      <c r="J74" s="69"/>
      <c r="K74" s="79">
        <f>40600+15400+31000+39000+9800+33200+52200+46400+17600+46400+80000+17600+90000+150000+200000+52200+52200+400000+90000+19800+19800+19800+19800+82250+7750+52200+450000+450000+90000+80000+400000+50000+50000+50000+50000+50000+50000+50000+50000+50000+450000+400000</f>
        <v>4455000</v>
      </c>
      <c r="L74" s="79">
        <f t="shared" ref="L74" si="27">C74-K74</f>
        <v>0</v>
      </c>
      <c r="M74" s="79">
        <f t="shared" si="25"/>
        <v>100</v>
      </c>
      <c r="N74" s="85" t="s">
        <v>14</v>
      </c>
    </row>
    <row r="75" spans="1:15" ht="21" x14ac:dyDescent="0.2">
      <c r="A75" s="762" t="s">
        <v>203</v>
      </c>
      <c r="B75" s="762"/>
      <c r="C75" s="98">
        <f>D75</f>
        <v>579900</v>
      </c>
      <c r="D75" s="98">
        <f t="shared" ref="D75:E75" si="28">D76+D77+D78</f>
        <v>579900</v>
      </c>
      <c r="E75" s="98">
        <f t="shared" si="28"/>
        <v>0</v>
      </c>
      <c r="F75" s="584"/>
      <c r="G75" s="588"/>
      <c r="H75" s="588"/>
      <c r="I75" s="98">
        <f t="shared" ref="I75:J75" si="29">I76+I77+I78</f>
        <v>0</v>
      </c>
      <c r="J75" s="98">
        <f t="shared" si="29"/>
        <v>0</v>
      </c>
      <c r="K75" s="59">
        <f>K76+K77+K78</f>
        <v>579900</v>
      </c>
      <c r="L75" s="59">
        <f>L76+L77+L78</f>
        <v>0</v>
      </c>
      <c r="M75" s="59">
        <f>K75*100/C75</f>
        <v>100</v>
      </c>
      <c r="N75" s="395"/>
    </row>
    <row r="76" spans="1:15" ht="36" customHeight="1" x14ac:dyDescent="0.2">
      <c r="A76" s="5">
        <v>35</v>
      </c>
      <c r="B76" s="81" t="s">
        <v>17</v>
      </c>
      <c r="C76" s="115">
        <f t="shared" si="19"/>
        <v>139700</v>
      </c>
      <c r="D76" s="69">
        <f>300000-160300</f>
        <v>139700</v>
      </c>
      <c r="E76" s="69">
        <v>0</v>
      </c>
      <c r="F76" s="583" t="s">
        <v>353</v>
      </c>
      <c r="G76" s="583"/>
      <c r="H76" s="583"/>
      <c r="I76" s="69"/>
      <c r="J76" s="69">
        <v>0</v>
      </c>
      <c r="K76" s="69">
        <f>94800+700+40000+3000+1200</f>
        <v>139700</v>
      </c>
      <c r="L76" s="69">
        <f>C76-K76-J76</f>
        <v>0</v>
      </c>
      <c r="M76" s="69">
        <v>100</v>
      </c>
      <c r="N76" s="91" t="s">
        <v>18</v>
      </c>
    </row>
    <row r="77" spans="1:15" ht="49.5" customHeight="1" x14ac:dyDescent="0.2">
      <c r="A77" s="5">
        <v>36</v>
      </c>
      <c r="B77" s="81" t="s">
        <v>19</v>
      </c>
      <c r="C77" s="115">
        <f t="shared" si="19"/>
        <v>281400</v>
      </c>
      <c r="D77" s="69">
        <f>300000-18600</f>
        <v>281400</v>
      </c>
      <c r="E77" s="69">
        <v>0</v>
      </c>
      <c r="F77" s="583" t="s">
        <v>353</v>
      </c>
      <c r="G77" s="583"/>
      <c r="H77" s="583"/>
      <c r="I77" s="69"/>
      <c r="J77" s="69">
        <v>0</v>
      </c>
      <c r="K77" s="69">
        <f>94100+600+4500+97700+4500+40000+40000</f>
        <v>281400</v>
      </c>
      <c r="L77" s="69">
        <f>C77-K77-J77</f>
        <v>0</v>
      </c>
      <c r="M77" s="69">
        <v>100</v>
      </c>
      <c r="N77" s="91" t="s">
        <v>18</v>
      </c>
    </row>
    <row r="78" spans="1:15" ht="35.25" customHeight="1" x14ac:dyDescent="0.2">
      <c r="A78" s="5">
        <v>37</v>
      </c>
      <c r="B78" s="81" t="s">
        <v>20</v>
      </c>
      <c r="C78" s="115">
        <f t="shared" si="19"/>
        <v>158800</v>
      </c>
      <c r="D78" s="69">
        <f>300000-141202+2</f>
        <v>158800</v>
      </c>
      <c r="E78" s="69">
        <v>0</v>
      </c>
      <c r="F78" s="583" t="s">
        <v>353</v>
      </c>
      <c r="G78" s="583"/>
      <c r="H78" s="583"/>
      <c r="I78" s="69"/>
      <c r="J78" s="69">
        <v>0</v>
      </c>
      <c r="K78" s="69">
        <f>59700+20000+56100+3000+20000</f>
        <v>158800</v>
      </c>
      <c r="L78" s="69">
        <f>C78-K78-J78</f>
        <v>0</v>
      </c>
      <c r="M78" s="69">
        <v>100</v>
      </c>
      <c r="N78" s="91" t="s">
        <v>18</v>
      </c>
    </row>
    <row r="79" spans="1:15" ht="21" customHeight="1" x14ac:dyDescent="0.2">
      <c r="A79" s="758" t="s">
        <v>204</v>
      </c>
      <c r="B79" s="757"/>
      <c r="C79" s="98">
        <f>D79</f>
        <v>6325500</v>
      </c>
      <c r="D79" s="98">
        <f>D80+D82</f>
        <v>6325500</v>
      </c>
      <c r="E79" s="591">
        <v>0</v>
      </c>
      <c r="F79" s="592"/>
      <c r="G79" s="588"/>
      <c r="H79" s="588"/>
      <c r="I79" s="98">
        <f>I80+I82</f>
        <v>0</v>
      </c>
      <c r="J79" s="98">
        <f>J80+J82</f>
        <v>78416.800000000003</v>
      </c>
      <c r="K79" s="59">
        <f>K80+K82</f>
        <v>6226683.2000000002</v>
      </c>
      <c r="L79" s="59">
        <f>L80+L82</f>
        <v>20400</v>
      </c>
      <c r="M79" s="59">
        <f>K79*100/C79</f>
        <v>98.437802545253334</v>
      </c>
      <c r="N79" s="395"/>
      <c r="O79" s="103">
        <f>C79+C106</f>
        <v>6696000</v>
      </c>
    </row>
    <row r="80" spans="1:15" ht="21" x14ac:dyDescent="0.2">
      <c r="A80" s="756" t="s">
        <v>205</v>
      </c>
      <c r="B80" s="757"/>
      <c r="C80" s="98">
        <f>C81</f>
        <v>1000000</v>
      </c>
      <c r="D80" s="98">
        <f>D81</f>
        <v>1000000</v>
      </c>
      <c r="E80" s="59">
        <v>0</v>
      </c>
      <c r="F80" s="586"/>
      <c r="G80" s="588"/>
      <c r="H80" s="588"/>
      <c r="I80" s="98">
        <f>I81</f>
        <v>0</v>
      </c>
      <c r="J80" s="98">
        <f>J81</f>
        <v>55200</v>
      </c>
      <c r="K80" s="59">
        <f>K81</f>
        <v>944800</v>
      </c>
      <c r="L80" s="59">
        <f>L81</f>
        <v>0</v>
      </c>
      <c r="M80" s="59">
        <v>100</v>
      </c>
      <c r="N80" s="398"/>
    </row>
    <row r="81" spans="1:15" ht="39" customHeight="1" x14ac:dyDescent="0.2">
      <c r="A81" s="5">
        <v>38</v>
      </c>
      <c r="B81" s="71" t="s">
        <v>21</v>
      </c>
      <c r="C81" s="115">
        <f t="shared" si="19"/>
        <v>1000000</v>
      </c>
      <c r="D81" s="69">
        <v>1000000</v>
      </c>
      <c r="E81" s="69">
        <v>0</v>
      </c>
      <c r="F81" s="583" t="s">
        <v>353</v>
      </c>
      <c r="G81" s="583"/>
      <c r="H81" s="583"/>
      <c r="I81" s="69"/>
      <c r="J81" s="69">
        <v>55200</v>
      </c>
      <c r="K81" s="69">
        <f>184200+184200+184200+42000+10000+10000+42000+184200+42000+42000+10000+10000</f>
        <v>944800</v>
      </c>
      <c r="L81" s="69">
        <f>C81-K81-J81</f>
        <v>0</v>
      </c>
      <c r="M81" s="69">
        <v>100</v>
      </c>
      <c r="N81" s="85" t="s">
        <v>22</v>
      </c>
    </row>
    <row r="82" spans="1:15" ht="40.5" customHeight="1" x14ac:dyDescent="0.2">
      <c r="A82" s="762" t="s">
        <v>206</v>
      </c>
      <c r="B82" s="762"/>
      <c r="C82" s="98">
        <f>D82</f>
        <v>5325500</v>
      </c>
      <c r="D82" s="98">
        <f>D83+D84+D85+D86+D87+D88+D89+D90+D91+D92+D93+D94+D95</f>
        <v>5325500</v>
      </c>
      <c r="E82" s="59">
        <v>0</v>
      </c>
      <c r="F82" s="583" t="s">
        <v>738</v>
      </c>
      <c r="G82" s="588"/>
      <c r="H82" s="588"/>
      <c r="I82" s="98">
        <f>I83+I84+I85+I86+I87+I88+I89+I90+I91+I92+I93+I94+I95</f>
        <v>0</v>
      </c>
      <c r="J82" s="98">
        <f>J83+J84+J85+J86+J87+J88+J89+J90+J91+J92+J93+J94+J95</f>
        <v>23216.799999999999</v>
      </c>
      <c r="K82" s="59">
        <f>K83+K84+K85+K86+K87+K88+K89+K90+K91+K92+K93+K94+K95</f>
        <v>5281883.2</v>
      </c>
      <c r="L82" s="59">
        <f>L83+L84+L85+L86+L87+L88+L89+L90+L91+L92+L93+L94+L95</f>
        <v>20400</v>
      </c>
      <c r="M82" s="59">
        <f>K82*100/C82</f>
        <v>99.180982067411506</v>
      </c>
      <c r="N82" s="398"/>
    </row>
    <row r="83" spans="1:15" ht="20.25" customHeight="1" x14ac:dyDescent="0.2">
      <c r="A83" s="5">
        <v>39</v>
      </c>
      <c r="B83" s="71" t="s">
        <v>128</v>
      </c>
      <c r="C83" s="115">
        <f>D83</f>
        <v>500000</v>
      </c>
      <c r="D83" s="69">
        <v>500000</v>
      </c>
      <c r="E83" s="69">
        <v>0</v>
      </c>
      <c r="F83" s="584"/>
      <c r="G83" s="583"/>
      <c r="H83" s="583"/>
      <c r="I83" s="69"/>
      <c r="J83" s="69"/>
      <c r="K83" s="69">
        <f>23880+94960+62880+13500+107500+18000+50000+11780+117500</f>
        <v>500000</v>
      </c>
      <c r="L83" s="69">
        <f>D83-K83</f>
        <v>0</v>
      </c>
      <c r="M83" s="69">
        <f>K83*100/D83</f>
        <v>100</v>
      </c>
      <c r="N83" s="85" t="s">
        <v>23</v>
      </c>
    </row>
    <row r="84" spans="1:15" ht="19.5" customHeight="1" x14ac:dyDescent="0.2">
      <c r="A84" s="5">
        <v>40</v>
      </c>
      <c r="B84" s="71" t="s">
        <v>123</v>
      </c>
      <c r="C84" s="115">
        <f t="shared" ref="C84:C95" si="30">D84</f>
        <v>490000</v>
      </c>
      <c r="D84" s="69">
        <v>490000</v>
      </c>
      <c r="E84" s="69">
        <v>0</v>
      </c>
      <c r="F84" s="584"/>
      <c r="G84" s="583"/>
      <c r="H84" s="583"/>
      <c r="I84" s="69"/>
      <c r="J84" s="84">
        <v>10000</v>
      </c>
      <c r="K84" s="69">
        <f>10000+25000+60000+10000+60000+5000+10000+70000+30000+18000+20000+49600+22000+70000</f>
        <v>459600</v>
      </c>
      <c r="L84" s="69">
        <f>D84-K84-J84</f>
        <v>20400</v>
      </c>
      <c r="M84" s="69">
        <f t="shared" ref="M84:M95" si="31">K84*100/D84</f>
        <v>93.795918367346943</v>
      </c>
      <c r="N84" s="85" t="s">
        <v>23</v>
      </c>
    </row>
    <row r="85" spans="1:15" ht="22.5" customHeight="1" x14ac:dyDescent="0.2">
      <c r="A85" s="5">
        <v>41</v>
      </c>
      <c r="B85" s="71" t="s">
        <v>124</v>
      </c>
      <c r="C85" s="115">
        <f t="shared" si="30"/>
        <v>60000</v>
      </c>
      <c r="D85" s="69">
        <v>60000</v>
      </c>
      <c r="E85" s="69">
        <v>0</v>
      </c>
      <c r="F85" s="584"/>
      <c r="G85" s="583"/>
      <c r="H85" s="583"/>
      <c r="I85" s="69"/>
      <c r="J85" s="69"/>
      <c r="K85" s="69">
        <f>22400+25000+12600</f>
        <v>60000</v>
      </c>
      <c r="L85" s="69">
        <f t="shared" ref="L85:L95" si="32">D85-K85</f>
        <v>0</v>
      </c>
      <c r="M85" s="69">
        <f t="shared" si="31"/>
        <v>100</v>
      </c>
      <c r="N85" s="85" t="s">
        <v>23</v>
      </c>
      <c r="O85" s="1">
        <v>12600</v>
      </c>
    </row>
    <row r="86" spans="1:15" ht="21" x14ac:dyDescent="0.2">
      <c r="A86" s="5">
        <v>42</v>
      </c>
      <c r="B86" s="71" t="s">
        <v>302</v>
      </c>
      <c r="C86" s="115">
        <f t="shared" si="30"/>
        <v>60000</v>
      </c>
      <c r="D86" s="69">
        <v>60000</v>
      </c>
      <c r="E86" s="69">
        <v>0</v>
      </c>
      <c r="F86" s="584"/>
      <c r="G86" s="583"/>
      <c r="H86" s="583"/>
      <c r="I86" s="69"/>
      <c r="J86" s="69"/>
      <c r="K86" s="69">
        <f>7800+52200</f>
        <v>60000</v>
      </c>
      <c r="L86" s="69">
        <f t="shared" si="32"/>
        <v>0</v>
      </c>
      <c r="M86" s="69">
        <f t="shared" si="31"/>
        <v>100</v>
      </c>
      <c r="N86" s="85" t="s">
        <v>23</v>
      </c>
    </row>
    <row r="87" spans="1:15" ht="22.5" customHeight="1" x14ac:dyDescent="0.2">
      <c r="A87" s="5">
        <v>43</v>
      </c>
      <c r="B87" s="71" t="s">
        <v>125</v>
      </c>
      <c r="C87" s="115">
        <f t="shared" si="30"/>
        <v>60000</v>
      </c>
      <c r="D87" s="69">
        <v>60000</v>
      </c>
      <c r="E87" s="69">
        <v>0</v>
      </c>
      <c r="F87" s="584"/>
      <c r="G87" s="583"/>
      <c r="H87" s="583"/>
      <c r="I87" s="69"/>
      <c r="J87" s="69"/>
      <c r="K87" s="69">
        <f>29000+31000</f>
        <v>60000</v>
      </c>
      <c r="L87" s="69">
        <f t="shared" si="32"/>
        <v>0</v>
      </c>
      <c r="M87" s="69">
        <f t="shared" si="31"/>
        <v>100</v>
      </c>
      <c r="N87" s="85" t="s">
        <v>23</v>
      </c>
    </row>
    <row r="88" spans="1:15" ht="21.75" customHeight="1" x14ac:dyDescent="0.2">
      <c r="A88" s="5">
        <v>44</v>
      </c>
      <c r="B88" s="71" t="s">
        <v>126</v>
      </c>
      <c r="C88" s="115">
        <f t="shared" si="30"/>
        <v>60000</v>
      </c>
      <c r="D88" s="69">
        <v>60000</v>
      </c>
      <c r="E88" s="69">
        <v>0</v>
      </c>
      <c r="F88" s="584"/>
      <c r="G88" s="583"/>
      <c r="H88" s="583"/>
      <c r="I88" s="69"/>
      <c r="J88" s="84">
        <v>995</v>
      </c>
      <c r="K88" s="69">
        <f>12600+17215+8040+21150</f>
        <v>59005</v>
      </c>
      <c r="L88" s="69">
        <f>D88-K88-J88</f>
        <v>0</v>
      </c>
      <c r="M88" s="69">
        <v>100</v>
      </c>
      <c r="N88" s="85" t="s">
        <v>23</v>
      </c>
    </row>
    <row r="89" spans="1:15" ht="21" customHeight="1" x14ac:dyDescent="0.2">
      <c r="A89" s="5">
        <v>45</v>
      </c>
      <c r="B89" s="71" t="s">
        <v>127</v>
      </c>
      <c r="C89" s="115">
        <f t="shared" si="30"/>
        <v>60000</v>
      </c>
      <c r="D89" s="69">
        <v>60000</v>
      </c>
      <c r="E89" s="69">
        <v>0</v>
      </c>
      <c r="F89" s="584"/>
      <c r="G89" s="583"/>
      <c r="H89" s="583"/>
      <c r="I89" s="69"/>
      <c r="J89" s="84">
        <v>50</v>
      </c>
      <c r="K89" s="69">
        <f>3300+21850+21750+1800+11250</f>
        <v>59950</v>
      </c>
      <c r="L89" s="69">
        <f>D89-K89-J89</f>
        <v>0</v>
      </c>
      <c r="M89" s="69">
        <v>100</v>
      </c>
      <c r="N89" s="85" t="s">
        <v>23</v>
      </c>
      <c r="O89" s="124"/>
    </row>
    <row r="90" spans="1:15" ht="39.75" customHeight="1" x14ac:dyDescent="0.2">
      <c r="A90" s="5">
        <v>46</v>
      </c>
      <c r="B90" s="71" t="s">
        <v>24</v>
      </c>
      <c r="C90" s="115">
        <f t="shared" si="30"/>
        <v>252000</v>
      </c>
      <c r="D90" s="69">
        <v>252000</v>
      </c>
      <c r="E90" s="69">
        <v>0</v>
      </c>
      <c r="F90" s="584"/>
      <c r="G90" s="583"/>
      <c r="H90" s="583"/>
      <c r="I90" s="69"/>
      <c r="J90" s="69"/>
      <c r="K90" s="69">
        <v>252000</v>
      </c>
      <c r="L90" s="69">
        <f t="shared" si="32"/>
        <v>0</v>
      </c>
      <c r="M90" s="69">
        <f t="shared" si="31"/>
        <v>100</v>
      </c>
      <c r="N90" s="85" t="s">
        <v>23</v>
      </c>
    </row>
    <row r="91" spans="1:15" ht="22.5" customHeight="1" x14ac:dyDescent="0.2">
      <c r="A91" s="5">
        <v>47</v>
      </c>
      <c r="B91" s="71" t="s">
        <v>333</v>
      </c>
      <c r="C91" s="115">
        <f t="shared" si="30"/>
        <v>252000</v>
      </c>
      <c r="D91" s="69">
        <v>252000</v>
      </c>
      <c r="E91" s="69">
        <v>0</v>
      </c>
      <c r="F91" s="584"/>
      <c r="G91" s="583"/>
      <c r="H91" s="583"/>
      <c r="I91" s="69"/>
      <c r="J91" s="69"/>
      <c r="K91" s="69">
        <f>11000+36000+10000+9000+36000+6000+36000+36000+36000+36000</f>
        <v>252000</v>
      </c>
      <c r="L91" s="69">
        <f t="shared" si="32"/>
        <v>0</v>
      </c>
      <c r="M91" s="69">
        <f t="shared" si="31"/>
        <v>100</v>
      </c>
      <c r="N91" s="85" t="s">
        <v>23</v>
      </c>
    </row>
    <row r="92" spans="1:15" ht="21.75" customHeight="1" x14ac:dyDescent="0.2">
      <c r="A92" s="5">
        <v>48</v>
      </c>
      <c r="B92" s="66" t="s">
        <v>25</v>
      </c>
      <c r="C92" s="115">
        <f t="shared" si="30"/>
        <v>300000</v>
      </c>
      <c r="D92" s="69">
        <v>300000</v>
      </c>
      <c r="E92" s="69">
        <v>0</v>
      </c>
      <c r="F92" s="584"/>
      <c r="G92" s="583"/>
      <c r="H92" s="583"/>
      <c r="I92" s="69"/>
      <c r="J92" s="84">
        <v>2930</v>
      </c>
      <c r="K92" s="69">
        <f>255400+44600-2930</f>
        <v>297070</v>
      </c>
      <c r="L92" s="69">
        <f>D92-K92-J92</f>
        <v>0</v>
      </c>
      <c r="M92" s="69">
        <v>100</v>
      </c>
      <c r="N92" s="85" t="s">
        <v>23</v>
      </c>
    </row>
    <row r="93" spans="1:15" ht="39" customHeight="1" x14ac:dyDescent="0.2">
      <c r="A93" s="5">
        <v>49</v>
      </c>
      <c r="B93" s="66" t="s">
        <v>262</v>
      </c>
      <c r="C93" s="115">
        <f t="shared" si="30"/>
        <v>231500</v>
      </c>
      <c r="D93" s="69">
        <v>231500</v>
      </c>
      <c r="E93" s="69">
        <v>0</v>
      </c>
      <c r="F93" s="584"/>
      <c r="G93" s="583"/>
      <c r="H93" s="583"/>
      <c r="I93" s="69"/>
      <c r="J93" s="69"/>
      <c r="K93" s="69">
        <f>169900+61600</f>
        <v>231500</v>
      </c>
      <c r="L93" s="69">
        <f t="shared" si="32"/>
        <v>0</v>
      </c>
      <c r="M93" s="69">
        <f t="shared" si="31"/>
        <v>100</v>
      </c>
      <c r="N93" s="85" t="s">
        <v>263</v>
      </c>
    </row>
    <row r="94" spans="1:15" ht="25.5" customHeight="1" x14ac:dyDescent="0.2">
      <c r="A94" s="5">
        <v>50</v>
      </c>
      <c r="B94" s="66" t="s">
        <v>332</v>
      </c>
      <c r="C94" s="115">
        <f t="shared" si="30"/>
        <v>1500000</v>
      </c>
      <c r="D94" s="69">
        <v>1500000</v>
      </c>
      <c r="E94" s="69">
        <v>0</v>
      </c>
      <c r="F94" s="584"/>
      <c r="G94" s="583"/>
      <c r="H94" s="583"/>
      <c r="I94" s="69"/>
      <c r="J94" s="84">
        <f>9000+241.8</f>
        <v>9241.7999999999993</v>
      </c>
      <c r="K94" s="69">
        <f>27500+32500+11000+216000+44000+95000+8000+11000+39000+42500+11000+132000+45000+18000+18000+18000+51000+450000+45000+54000+122258.2</f>
        <v>1490758.2</v>
      </c>
      <c r="L94" s="69">
        <v>0</v>
      </c>
      <c r="M94" s="69">
        <v>100</v>
      </c>
      <c r="N94" s="85" t="s">
        <v>23</v>
      </c>
    </row>
    <row r="95" spans="1:15" ht="21" customHeight="1" x14ac:dyDescent="0.2">
      <c r="A95" s="5">
        <v>51</v>
      </c>
      <c r="B95" s="66" t="s">
        <v>26</v>
      </c>
      <c r="C95" s="115">
        <f t="shared" si="30"/>
        <v>1500000</v>
      </c>
      <c r="D95" s="69">
        <v>1500000</v>
      </c>
      <c r="E95" s="69">
        <v>0</v>
      </c>
      <c r="F95" s="584" t="s">
        <v>353</v>
      </c>
      <c r="G95" s="583"/>
      <c r="H95" s="583"/>
      <c r="I95" s="69"/>
      <c r="J95" s="69"/>
      <c r="K95" s="69">
        <v>1500000</v>
      </c>
      <c r="L95" s="69">
        <f t="shared" si="32"/>
        <v>0</v>
      </c>
      <c r="M95" s="69">
        <f t="shared" si="31"/>
        <v>100</v>
      </c>
      <c r="N95" s="399" t="s">
        <v>27</v>
      </c>
    </row>
    <row r="96" spans="1:15" ht="18.75" customHeight="1" x14ac:dyDescent="0.2">
      <c r="A96" s="758" t="s">
        <v>207</v>
      </c>
      <c r="B96" s="757"/>
      <c r="C96" s="98">
        <f>E96</f>
        <v>40163316.700000003</v>
      </c>
      <c r="D96" s="98">
        <f t="shared" ref="D96:E96" si="33">D97+D103</f>
        <v>0</v>
      </c>
      <c r="E96" s="98">
        <f t="shared" si="33"/>
        <v>40163316.700000003</v>
      </c>
      <c r="F96" s="584"/>
      <c r="G96" s="588"/>
      <c r="H96" s="588"/>
      <c r="I96" s="98">
        <f t="shared" ref="I96:J96" si="34">I97+I103</f>
        <v>40163316.700000003</v>
      </c>
      <c r="J96" s="98">
        <f t="shared" si="34"/>
        <v>0</v>
      </c>
      <c r="K96" s="59">
        <f>K97+K103</f>
        <v>32691816.699999999</v>
      </c>
      <c r="L96" s="59">
        <f>L97+L103</f>
        <v>7471500</v>
      </c>
      <c r="M96" s="59">
        <f>K96*100/E96</f>
        <v>81.397203682633105</v>
      </c>
      <c r="N96" s="85"/>
    </row>
    <row r="97" spans="1:14" ht="22.5" customHeight="1" x14ac:dyDescent="0.2">
      <c r="A97" s="756" t="s">
        <v>208</v>
      </c>
      <c r="B97" s="757"/>
      <c r="C97" s="98">
        <f>E97</f>
        <v>29984316.699999999</v>
      </c>
      <c r="D97" s="98">
        <f t="shared" ref="D97:E97" si="35">D98+D99+D100+D101+D102</f>
        <v>0</v>
      </c>
      <c r="E97" s="98">
        <f t="shared" si="35"/>
        <v>29984316.699999999</v>
      </c>
      <c r="F97" s="584"/>
      <c r="G97" s="588"/>
      <c r="H97" s="588"/>
      <c r="I97" s="98">
        <f t="shared" ref="I97:J97" si="36">I98+I99+I100+I101+I102</f>
        <v>29984316.699999999</v>
      </c>
      <c r="J97" s="98">
        <f t="shared" si="36"/>
        <v>0</v>
      </c>
      <c r="K97" s="59">
        <f>K98+K99+K100+K101+K102</f>
        <v>29984316.699999999</v>
      </c>
      <c r="L97" s="59">
        <f>L98+L99+L100+L101+L102</f>
        <v>0</v>
      </c>
      <c r="M97" s="59">
        <v>100</v>
      </c>
      <c r="N97" s="395"/>
    </row>
    <row r="98" spans="1:14" ht="54.75" customHeight="1" x14ac:dyDescent="0.2">
      <c r="A98" s="5">
        <v>52</v>
      </c>
      <c r="B98" s="66" t="s">
        <v>28</v>
      </c>
      <c r="C98" s="115">
        <f>E98</f>
        <v>5990880</v>
      </c>
      <c r="D98" s="577">
        <v>0</v>
      </c>
      <c r="E98" s="577">
        <f>6000000-9120</f>
        <v>5990880</v>
      </c>
      <c r="F98" s="584" t="s">
        <v>353</v>
      </c>
      <c r="G98" s="583" t="s">
        <v>280</v>
      </c>
      <c r="H98" s="583" t="s">
        <v>649</v>
      </c>
      <c r="I98" s="69">
        <v>5990880</v>
      </c>
      <c r="J98" s="84">
        <f>E98-I98</f>
        <v>0</v>
      </c>
      <c r="K98" s="69">
        <v>5990880</v>
      </c>
      <c r="L98" s="69">
        <v>0</v>
      </c>
      <c r="M98" s="69">
        <f>K98*100/E98</f>
        <v>100</v>
      </c>
      <c r="N98" s="85" t="s">
        <v>29</v>
      </c>
    </row>
    <row r="99" spans="1:14" ht="53.25" customHeight="1" x14ac:dyDescent="0.2">
      <c r="A99" s="5">
        <v>53</v>
      </c>
      <c r="B99" s="66" t="s">
        <v>30</v>
      </c>
      <c r="C99" s="115">
        <f t="shared" ref="C99:C102" si="37">E99</f>
        <v>9995036.6999999993</v>
      </c>
      <c r="D99" s="69">
        <v>0</v>
      </c>
      <c r="E99" s="577">
        <f>10000000-3380-1583.3</f>
        <v>9995036.6999999993</v>
      </c>
      <c r="F99" s="584" t="s">
        <v>353</v>
      </c>
      <c r="G99" s="583" t="s">
        <v>280</v>
      </c>
      <c r="H99" s="583" t="s">
        <v>649</v>
      </c>
      <c r="I99" s="69">
        <v>9995036.6999999993</v>
      </c>
      <c r="J99" s="84">
        <v>0</v>
      </c>
      <c r="K99" s="69">
        <v>9995036.6999999993</v>
      </c>
      <c r="L99" s="69">
        <v>0</v>
      </c>
      <c r="M99" s="69">
        <v>100</v>
      </c>
      <c r="N99" s="85" t="s">
        <v>29</v>
      </c>
    </row>
    <row r="100" spans="1:14" ht="54.75" customHeight="1" x14ac:dyDescent="0.2">
      <c r="A100" s="5">
        <v>54</v>
      </c>
      <c r="B100" s="66" t="s">
        <v>31</v>
      </c>
      <c r="C100" s="115">
        <f t="shared" si="37"/>
        <v>7660800</v>
      </c>
      <c r="D100" s="69">
        <v>0</v>
      </c>
      <c r="E100" s="577">
        <f>7770000-109200</f>
        <v>7660800</v>
      </c>
      <c r="F100" s="584" t="s">
        <v>353</v>
      </c>
      <c r="G100" s="583" t="s">
        <v>280</v>
      </c>
      <c r="H100" s="583" t="s">
        <v>649</v>
      </c>
      <c r="I100" s="69">
        <v>7660800</v>
      </c>
      <c r="J100" s="84">
        <f t="shared" ref="J100:J102" si="38">E100-I100</f>
        <v>0</v>
      </c>
      <c r="K100" s="69">
        <v>7660800</v>
      </c>
      <c r="L100" s="69">
        <v>0</v>
      </c>
      <c r="M100" s="69">
        <f t="shared" ref="M100:M102" si="39">K100*100/E100</f>
        <v>100</v>
      </c>
      <c r="N100" s="85" t="s">
        <v>29</v>
      </c>
    </row>
    <row r="101" spans="1:14" ht="53.25" customHeight="1" x14ac:dyDescent="0.2">
      <c r="A101" s="5">
        <v>55</v>
      </c>
      <c r="B101" s="66" t="s">
        <v>32</v>
      </c>
      <c r="C101" s="115">
        <f t="shared" si="37"/>
        <v>2389600</v>
      </c>
      <c r="D101" s="69">
        <v>0</v>
      </c>
      <c r="E101" s="577">
        <f>2400000-10400</f>
        <v>2389600</v>
      </c>
      <c r="F101" s="584" t="s">
        <v>353</v>
      </c>
      <c r="G101" s="583" t="s">
        <v>280</v>
      </c>
      <c r="H101" s="583" t="s">
        <v>649</v>
      </c>
      <c r="I101" s="69">
        <v>2389600</v>
      </c>
      <c r="J101" s="84">
        <f t="shared" si="38"/>
        <v>0</v>
      </c>
      <c r="K101" s="69">
        <v>2389600</v>
      </c>
      <c r="L101" s="69">
        <v>0</v>
      </c>
      <c r="M101" s="69">
        <f t="shared" si="39"/>
        <v>100</v>
      </c>
      <c r="N101" s="85" t="s">
        <v>29</v>
      </c>
    </row>
    <row r="102" spans="1:14" ht="56.25" customHeight="1" x14ac:dyDescent="0.2">
      <c r="A102" s="5">
        <v>56</v>
      </c>
      <c r="B102" s="71" t="s">
        <v>33</v>
      </c>
      <c r="C102" s="115">
        <f t="shared" si="37"/>
        <v>3948000</v>
      </c>
      <c r="D102" s="577">
        <v>0</v>
      </c>
      <c r="E102" s="577">
        <f>3965000-17000</f>
        <v>3948000</v>
      </c>
      <c r="F102" s="584" t="s">
        <v>353</v>
      </c>
      <c r="G102" s="583" t="s">
        <v>280</v>
      </c>
      <c r="H102" s="583" t="s">
        <v>649</v>
      </c>
      <c r="I102" s="69">
        <v>3948000</v>
      </c>
      <c r="J102" s="84">
        <f t="shared" si="38"/>
        <v>0</v>
      </c>
      <c r="K102" s="69">
        <v>3948000</v>
      </c>
      <c r="L102" s="69">
        <f t="shared" ref="L102" si="40">E102-K102</f>
        <v>0</v>
      </c>
      <c r="M102" s="69">
        <f t="shared" si="39"/>
        <v>100</v>
      </c>
      <c r="N102" s="85" t="s">
        <v>29</v>
      </c>
    </row>
    <row r="103" spans="1:14" ht="24.75" customHeight="1" x14ac:dyDescent="0.2">
      <c r="A103" s="762" t="s">
        <v>209</v>
      </c>
      <c r="B103" s="762"/>
      <c r="C103" s="98">
        <f>E103</f>
        <v>10179000</v>
      </c>
      <c r="D103" s="98">
        <f t="shared" ref="D103:E103" si="41">D104+D105</f>
        <v>0</v>
      </c>
      <c r="E103" s="98">
        <f t="shared" si="41"/>
        <v>10179000</v>
      </c>
      <c r="F103" s="584"/>
      <c r="G103" s="588"/>
      <c r="H103" s="588"/>
      <c r="I103" s="98">
        <f t="shared" ref="I103:J103" si="42">I104+I105</f>
        <v>10179000</v>
      </c>
      <c r="J103" s="98">
        <f t="shared" si="42"/>
        <v>0</v>
      </c>
      <c r="K103" s="59">
        <f>K104+K105</f>
        <v>2707500</v>
      </c>
      <c r="L103" s="59">
        <f>L104+L105</f>
        <v>7471500</v>
      </c>
      <c r="M103" s="59">
        <f>K103*100/E103</f>
        <v>26.598880047155909</v>
      </c>
      <c r="N103" s="397"/>
    </row>
    <row r="104" spans="1:14" s="686" customFormat="1" ht="58.5" customHeight="1" x14ac:dyDescent="0.2">
      <c r="A104" s="678">
        <v>57</v>
      </c>
      <c r="B104" s="679" t="s">
        <v>241</v>
      </c>
      <c r="C104" s="680">
        <f>E104</f>
        <v>8790000</v>
      </c>
      <c r="D104" s="681"/>
      <c r="E104" s="681">
        <f>10000000-1210000</f>
        <v>8790000</v>
      </c>
      <c r="F104" s="682" t="s">
        <v>738</v>
      </c>
      <c r="G104" s="682" t="s">
        <v>282</v>
      </c>
      <c r="H104" s="683" t="s">
        <v>648</v>
      </c>
      <c r="I104" s="680">
        <v>8790000</v>
      </c>
      <c r="J104" s="684">
        <f>E104-I104</f>
        <v>0</v>
      </c>
      <c r="K104" s="684">
        <v>1318500</v>
      </c>
      <c r="L104" s="684">
        <f>E104-K104</f>
        <v>7471500</v>
      </c>
      <c r="M104" s="684">
        <f>K104*100/E104</f>
        <v>15</v>
      </c>
      <c r="N104" s="685" t="s">
        <v>34</v>
      </c>
    </row>
    <row r="105" spans="1:14" ht="37.5" x14ac:dyDescent="0.2">
      <c r="A105" s="5">
        <v>58</v>
      </c>
      <c r="B105" s="66" t="s">
        <v>242</v>
      </c>
      <c r="C105" s="115">
        <f>E105</f>
        <v>1389000</v>
      </c>
      <c r="D105" s="577"/>
      <c r="E105" s="577">
        <f>2100000-711000</f>
        <v>1389000</v>
      </c>
      <c r="F105" s="583" t="s">
        <v>353</v>
      </c>
      <c r="G105" s="583" t="s">
        <v>282</v>
      </c>
      <c r="H105" s="583" t="s">
        <v>647</v>
      </c>
      <c r="I105" s="69">
        <v>1389000</v>
      </c>
      <c r="J105" s="69">
        <f>E105-I105</f>
        <v>0</v>
      </c>
      <c r="K105" s="69">
        <f>208350+1180650</f>
        <v>1389000</v>
      </c>
      <c r="L105" s="69">
        <f>E105-K105</f>
        <v>0</v>
      </c>
      <c r="M105" s="69">
        <f>K105*100/E105</f>
        <v>100</v>
      </c>
      <c r="N105" s="85" t="s">
        <v>34</v>
      </c>
    </row>
    <row r="106" spans="1:14" ht="39.75" customHeight="1" x14ac:dyDescent="0.2">
      <c r="A106" s="758" t="s">
        <v>210</v>
      </c>
      <c r="B106" s="757"/>
      <c r="C106" s="98">
        <f>C107</f>
        <v>370500</v>
      </c>
      <c r="D106" s="98">
        <f t="shared" ref="D106:E107" si="43">D107</f>
        <v>370500</v>
      </c>
      <c r="E106" s="98">
        <f t="shared" si="43"/>
        <v>0</v>
      </c>
      <c r="F106" s="584"/>
      <c r="G106" s="588"/>
      <c r="H106" s="588"/>
      <c r="I106" s="98">
        <f t="shared" ref="I106:J107" si="44">I107</f>
        <v>0</v>
      </c>
      <c r="J106" s="98">
        <f t="shared" si="44"/>
        <v>0</v>
      </c>
      <c r="K106" s="59">
        <f>K107</f>
        <v>370500</v>
      </c>
      <c r="L106" s="59">
        <f>L107</f>
        <v>0</v>
      </c>
      <c r="M106" s="59">
        <f>K106*100/C106</f>
        <v>100</v>
      </c>
      <c r="N106" s="397"/>
    </row>
    <row r="107" spans="1:14" ht="25.5" customHeight="1" x14ac:dyDescent="0.2">
      <c r="A107" s="756" t="s">
        <v>211</v>
      </c>
      <c r="B107" s="757"/>
      <c r="C107" s="98">
        <f>C108</f>
        <v>370500</v>
      </c>
      <c r="D107" s="98">
        <f t="shared" si="43"/>
        <v>370500</v>
      </c>
      <c r="E107" s="98">
        <f t="shared" si="43"/>
        <v>0</v>
      </c>
      <c r="F107" s="584"/>
      <c r="G107" s="588"/>
      <c r="H107" s="588"/>
      <c r="I107" s="98">
        <f t="shared" si="44"/>
        <v>0</v>
      </c>
      <c r="J107" s="98">
        <f t="shared" si="44"/>
        <v>0</v>
      </c>
      <c r="K107" s="59">
        <f>K108</f>
        <v>370500</v>
      </c>
      <c r="L107" s="59">
        <f>L108</f>
        <v>0</v>
      </c>
      <c r="M107" s="59">
        <f>K107*100/C107</f>
        <v>100</v>
      </c>
      <c r="N107" s="397"/>
    </row>
    <row r="108" spans="1:14" s="752" customFormat="1" ht="40.5" customHeight="1" x14ac:dyDescent="0.2">
      <c r="A108" s="5">
        <v>59</v>
      </c>
      <c r="B108" s="71" t="s">
        <v>243</v>
      </c>
      <c r="C108" s="115">
        <f t="shared" ref="C108:C153" si="45">D108+E108</f>
        <v>370500</v>
      </c>
      <c r="D108" s="577">
        <v>370500</v>
      </c>
      <c r="E108" s="69">
        <v>0</v>
      </c>
      <c r="F108" s="583" t="s">
        <v>353</v>
      </c>
      <c r="G108" s="583"/>
      <c r="H108" s="583"/>
      <c r="I108" s="69"/>
      <c r="J108" s="69"/>
      <c r="K108" s="69">
        <f>92890+2850+10145+16250+5550+5200+4200+42590+2810+40430+5720+51200+30020+9800+13100+2675+37270-2200</f>
        <v>370500</v>
      </c>
      <c r="L108" s="69">
        <f>C108-K108</f>
        <v>0</v>
      </c>
      <c r="M108" s="69">
        <f>K108*100/C108</f>
        <v>100</v>
      </c>
      <c r="N108" s="85" t="s">
        <v>35</v>
      </c>
    </row>
    <row r="109" spans="1:14" ht="20.25" customHeight="1" x14ac:dyDescent="0.2">
      <c r="A109" s="758" t="s">
        <v>212</v>
      </c>
      <c r="B109" s="757"/>
      <c r="C109" s="98">
        <f>C110+C113</f>
        <v>3978300</v>
      </c>
      <c r="D109" s="98">
        <f t="shared" ref="D109:E109" si="46">D110+D113</f>
        <v>1348300</v>
      </c>
      <c r="E109" s="98">
        <f t="shared" si="46"/>
        <v>2630000</v>
      </c>
      <c r="F109" s="584"/>
      <c r="G109" s="588"/>
      <c r="H109" s="588"/>
      <c r="I109" s="98">
        <f t="shared" ref="I109:J109" si="47">I110+I113</f>
        <v>2630000</v>
      </c>
      <c r="J109" s="98">
        <f t="shared" si="47"/>
        <v>0.77</v>
      </c>
      <c r="K109" s="59">
        <f>K110+K113</f>
        <v>3978299.23</v>
      </c>
      <c r="L109" s="59">
        <f>L110+L113</f>
        <v>1.8626433728741176E-11</v>
      </c>
      <c r="M109" s="59">
        <f t="shared" ref="M109:M115" si="48">K109*100/C109</f>
        <v>99.999980644999127</v>
      </c>
      <c r="N109" s="395"/>
    </row>
    <row r="110" spans="1:14" ht="20.25" customHeight="1" x14ac:dyDescent="0.2">
      <c r="A110" s="756" t="s">
        <v>213</v>
      </c>
      <c r="B110" s="757"/>
      <c r="C110" s="98">
        <f>C111+C112</f>
        <v>3398300</v>
      </c>
      <c r="D110" s="98">
        <f t="shared" ref="D110:E110" si="49">D111+D112</f>
        <v>1348300</v>
      </c>
      <c r="E110" s="98">
        <f t="shared" si="49"/>
        <v>2050000</v>
      </c>
      <c r="F110" s="584"/>
      <c r="G110" s="588"/>
      <c r="H110" s="588"/>
      <c r="I110" s="98">
        <f t="shared" ref="I110:J110" si="50">I111+I112</f>
        <v>2050000</v>
      </c>
      <c r="J110" s="98">
        <f t="shared" si="50"/>
        <v>0.77</v>
      </c>
      <c r="K110" s="59">
        <f>K111+K112</f>
        <v>3398299.23</v>
      </c>
      <c r="L110" s="59">
        <f>L111+L112</f>
        <v>1.8626433728741176E-11</v>
      </c>
      <c r="M110" s="59">
        <f t="shared" si="48"/>
        <v>99.999977341611981</v>
      </c>
      <c r="N110" s="395"/>
    </row>
    <row r="111" spans="1:14" ht="37.5" x14ac:dyDescent="0.2">
      <c r="A111" s="86">
        <v>60</v>
      </c>
      <c r="B111" s="87" t="s">
        <v>244</v>
      </c>
      <c r="C111" s="115">
        <f t="shared" si="45"/>
        <v>2050000</v>
      </c>
      <c r="D111" s="577"/>
      <c r="E111" s="577">
        <f>2500000-450000</f>
        <v>2050000</v>
      </c>
      <c r="F111" s="583" t="s">
        <v>353</v>
      </c>
      <c r="G111" s="583" t="s">
        <v>339</v>
      </c>
      <c r="H111" s="583" t="s">
        <v>646</v>
      </c>
      <c r="I111" s="69">
        <v>2050000</v>
      </c>
      <c r="J111" s="69">
        <f>E111-I111</f>
        <v>0</v>
      </c>
      <c r="K111" s="69">
        <v>2050000</v>
      </c>
      <c r="L111" s="69">
        <f>E111-K111</f>
        <v>0</v>
      </c>
      <c r="M111" s="69">
        <f t="shared" si="48"/>
        <v>100</v>
      </c>
      <c r="N111" s="85" t="s">
        <v>36</v>
      </c>
    </row>
    <row r="112" spans="1:14" ht="51.75" customHeight="1" x14ac:dyDescent="0.2">
      <c r="A112" s="4">
        <v>61</v>
      </c>
      <c r="B112" s="87" t="s">
        <v>37</v>
      </c>
      <c r="C112" s="115">
        <f t="shared" si="45"/>
        <v>1348300</v>
      </c>
      <c r="D112" s="69">
        <v>1348300</v>
      </c>
      <c r="E112" s="69">
        <v>0</v>
      </c>
      <c r="F112" s="583" t="s">
        <v>353</v>
      </c>
      <c r="G112" s="583"/>
      <c r="H112" s="583"/>
      <c r="I112" s="69"/>
      <c r="J112" s="69">
        <v>0.77</v>
      </c>
      <c r="K112" s="69">
        <f>95000+366800+6000+22000+14000+24500+8400+35000+211000+42000+84580+34874+3820.34+4740.49+340000+5584.4+50000</f>
        <v>1348299.23</v>
      </c>
      <c r="L112" s="69">
        <f>C112-K112-J112</f>
        <v>1.8626433728741176E-11</v>
      </c>
      <c r="M112" s="69">
        <f t="shared" si="48"/>
        <v>99.999942891047979</v>
      </c>
      <c r="N112" s="88" t="s">
        <v>38</v>
      </c>
    </row>
    <row r="113" spans="1:14" ht="21" x14ac:dyDescent="0.2">
      <c r="A113" s="762" t="s">
        <v>214</v>
      </c>
      <c r="B113" s="762"/>
      <c r="C113" s="98">
        <f>C114</f>
        <v>580000</v>
      </c>
      <c r="D113" s="98">
        <f t="shared" ref="D113:E113" si="51">D114</f>
        <v>0</v>
      </c>
      <c r="E113" s="98">
        <f t="shared" si="51"/>
        <v>580000</v>
      </c>
      <c r="F113" s="584"/>
      <c r="G113" s="588"/>
      <c r="H113" s="588"/>
      <c r="I113" s="98">
        <f t="shared" ref="I113:J113" si="52">I114</f>
        <v>580000</v>
      </c>
      <c r="J113" s="98">
        <f t="shared" si="52"/>
        <v>0</v>
      </c>
      <c r="K113" s="59">
        <f>K114</f>
        <v>580000</v>
      </c>
      <c r="L113" s="59">
        <f>L114</f>
        <v>0</v>
      </c>
      <c r="M113" s="59">
        <f t="shared" si="48"/>
        <v>100</v>
      </c>
      <c r="N113" s="395"/>
    </row>
    <row r="114" spans="1:14" ht="38.25" customHeight="1" x14ac:dyDescent="0.2">
      <c r="A114" s="5">
        <v>62</v>
      </c>
      <c r="B114" s="87" t="s">
        <v>129</v>
      </c>
      <c r="C114" s="115">
        <f t="shared" si="45"/>
        <v>580000</v>
      </c>
      <c r="D114" s="577">
        <v>0</v>
      </c>
      <c r="E114" s="69">
        <f>900000-320000</f>
        <v>580000</v>
      </c>
      <c r="F114" s="583" t="s">
        <v>353</v>
      </c>
      <c r="G114" s="583" t="s">
        <v>267</v>
      </c>
      <c r="H114" s="583" t="s">
        <v>645</v>
      </c>
      <c r="I114" s="69">
        <v>580000</v>
      </c>
      <c r="J114" s="84">
        <f>E114-I114</f>
        <v>0</v>
      </c>
      <c r="K114" s="69">
        <v>580000</v>
      </c>
      <c r="L114" s="69">
        <v>0</v>
      </c>
      <c r="M114" s="69">
        <v>100</v>
      </c>
      <c r="N114" s="85" t="s">
        <v>3</v>
      </c>
    </row>
    <row r="115" spans="1:14" ht="38.25" customHeight="1" x14ac:dyDescent="0.2">
      <c r="A115" s="758" t="s">
        <v>39</v>
      </c>
      <c r="B115" s="757"/>
      <c r="C115" s="98">
        <f>C116</f>
        <v>6277980</v>
      </c>
      <c r="D115" s="98">
        <f t="shared" ref="D115:E115" si="53">D116</f>
        <v>6277980</v>
      </c>
      <c r="E115" s="98">
        <f t="shared" si="53"/>
        <v>0</v>
      </c>
      <c r="F115" s="584"/>
      <c r="G115" s="588"/>
      <c r="H115" s="588"/>
      <c r="I115" s="98">
        <f t="shared" ref="I115:J115" si="54">I116</f>
        <v>0</v>
      </c>
      <c r="J115" s="98">
        <f t="shared" si="54"/>
        <v>111528</v>
      </c>
      <c r="K115" s="59">
        <f>K116</f>
        <v>4216914.5</v>
      </c>
      <c r="L115" s="59">
        <f>L116</f>
        <v>1949537.5</v>
      </c>
      <c r="M115" s="59">
        <f t="shared" si="48"/>
        <v>67.169925676730415</v>
      </c>
      <c r="N115" s="395"/>
    </row>
    <row r="116" spans="1:14" ht="18.75" customHeight="1" x14ac:dyDescent="0.2">
      <c r="A116" s="758" t="s">
        <v>215</v>
      </c>
      <c r="B116" s="757"/>
      <c r="C116" s="98">
        <f>C117+C127</f>
        <v>6277980</v>
      </c>
      <c r="D116" s="98">
        <f t="shared" ref="D116:E116" si="55">D117+D127</f>
        <v>6277980</v>
      </c>
      <c r="E116" s="98">
        <f t="shared" si="55"/>
        <v>0</v>
      </c>
      <c r="F116" s="584"/>
      <c r="G116" s="588"/>
      <c r="H116" s="588"/>
      <c r="I116" s="98">
        <f t="shared" ref="I116:J116" si="56">I117+I127</f>
        <v>0</v>
      </c>
      <c r="J116" s="98">
        <f t="shared" si="56"/>
        <v>111528</v>
      </c>
      <c r="K116" s="59">
        <f>K117+K127</f>
        <v>4216914.5</v>
      </c>
      <c r="L116" s="59">
        <f>L117+L127</f>
        <v>1949537.5</v>
      </c>
      <c r="M116" s="59">
        <f>K116*100/C116</f>
        <v>67.169925676730415</v>
      </c>
      <c r="N116" s="400"/>
    </row>
    <row r="117" spans="1:14" ht="21" customHeight="1" x14ac:dyDescent="0.2">
      <c r="A117" s="756" t="s">
        <v>216</v>
      </c>
      <c r="B117" s="757"/>
      <c r="C117" s="98">
        <f>C118+C119+C120+C121+C122</f>
        <v>3621980</v>
      </c>
      <c r="D117" s="98">
        <f t="shared" ref="D117:E117" si="57">D118+D119+D120+D121+D122</f>
        <v>3621980</v>
      </c>
      <c r="E117" s="98">
        <f t="shared" si="57"/>
        <v>0</v>
      </c>
      <c r="F117" s="584"/>
      <c r="G117" s="588"/>
      <c r="H117" s="588"/>
      <c r="I117" s="98">
        <f t="shared" ref="I117:J117" si="58">I118+I119+I120+I121+I122</f>
        <v>0</v>
      </c>
      <c r="J117" s="98">
        <f t="shared" si="58"/>
        <v>111170</v>
      </c>
      <c r="K117" s="59">
        <f>K118+K119+K120+K121+K122</f>
        <v>3175115</v>
      </c>
      <c r="L117" s="59">
        <f>L118+L119+L120+L121+L122</f>
        <v>335695</v>
      </c>
      <c r="M117" s="59">
        <f>K117*100/C117</f>
        <v>87.662411167372539</v>
      </c>
      <c r="N117" s="395"/>
    </row>
    <row r="118" spans="1:14" s="686" customFormat="1" ht="37.5" customHeight="1" x14ac:dyDescent="0.2">
      <c r="A118" s="687">
        <v>63</v>
      </c>
      <c r="B118" s="688" t="s">
        <v>40</v>
      </c>
      <c r="C118" s="680">
        <f t="shared" si="45"/>
        <v>940200</v>
      </c>
      <c r="D118" s="689">
        <v>940200</v>
      </c>
      <c r="E118" s="689">
        <v>0</v>
      </c>
      <c r="F118" s="682" t="s">
        <v>738</v>
      </c>
      <c r="G118" s="682"/>
      <c r="H118" s="682"/>
      <c r="I118" s="684"/>
      <c r="J118" s="690">
        <v>111170</v>
      </c>
      <c r="K118" s="684">
        <f>133520+104940+37440-5032+4900+37120+10000+109800+46600+10000+10000+16500-10120+10000+10000+9562+10000+18400+4520+44000+10000+4900+88314+55000-7500+10000+1080</f>
        <v>773944</v>
      </c>
      <c r="L118" s="684">
        <f>C118-K118-J118</f>
        <v>55086</v>
      </c>
      <c r="M118" s="684">
        <f>K118*100/C118</f>
        <v>82.316953839608587</v>
      </c>
      <c r="N118" s="691" t="s">
        <v>10</v>
      </c>
    </row>
    <row r="119" spans="1:14" ht="37.5" x14ac:dyDescent="0.2">
      <c r="A119" s="90">
        <v>64</v>
      </c>
      <c r="B119" s="81" t="s">
        <v>41</v>
      </c>
      <c r="C119" s="115">
        <f t="shared" si="45"/>
        <v>1119580</v>
      </c>
      <c r="D119" s="69">
        <f>1339900-220320</f>
        <v>1119580</v>
      </c>
      <c r="E119" s="69"/>
      <c r="F119" s="583" t="s">
        <v>353</v>
      </c>
      <c r="G119" s="583"/>
      <c r="H119" s="583"/>
      <c r="I119" s="69"/>
      <c r="J119" s="69">
        <v>0</v>
      </c>
      <c r="K119" s="69">
        <f>37950+32240+409000+210680+30750+17500+3790+2490+11600+4570+32010+10500+1500+315000</f>
        <v>1119580</v>
      </c>
      <c r="L119" s="69">
        <f>C119-K119-J119</f>
        <v>0</v>
      </c>
      <c r="M119" s="69">
        <v>100</v>
      </c>
      <c r="N119" s="91" t="s">
        <v>42</v>
      </c>
    </row>
    <row r="120" spans="1:14" ht="39" customHeight="1" x14ac:dyDescent="0.2">
      <c r="A120" s="90">
        <v>65</v>
      </c>
      <c r="B120" s="92" t="s">
        <v>43</v>
      </c>
      <c r="C120" s="115">
        <f t="shared" si="45"/>
        <v>405700</v>
      </c>
      <c r="D120" s="69">
        <v>405700</v>
      </c>
      <c r="E120" s="69"/>
      <c r="F120" s="583" t="s">
        <v>353</v>
      </c>
      <c r="G120" s="583"/>
      <c r="H120" s="583"/>
      <c r="I120" s="69"/>
      <c r="J120" s="69"/>
      <c r="K120" s="69">
        <f>26400+2625+26400+600+135475+19800+60000+39600+19800+75000</f>
        <v>405700</v>
      </c>
      <c r="L120" s="69">
        <f t="shared" ref="L120:L122" si="59">C120-K120</f>
        <v>0</v>
      </c>
      <c r="M120" s="69">
        <f t="shared" ref="M120:M122" si="60">K120*100/C120</f>
        <v>100</v>
      </c>
      <c r="N120" s="91" t="s">
        <v>42</v>
      </c>
    </row>
    <row r="121" spans="1:14" s="686" customFormat="1" ht="35.25" customHeight="1" x14ac:dyDescent="0.2">
      <c r="A121" s="687">
        <v>66</v>
      </c>
      <c r="B121" s="692" t="s">
        <v>44</v>
      </c>
      <c r="C121" s="680">
        <f t="shared" si="45"/>
        <v>878500</v>
      </c>
      <c r="D121" s="684">
        <v>878500</v>
      </c>
      <c r="E121" s="684"/>
      <c r="F121" s="682" t="s">
        <v>738</v>
      </c>
      <c r="G121" s="682"/>
      <c r="H121" s="682"/>
      <c r="I121" s="684"/>
      <c r="J121" s="684"/>
      <c r="K121" s="684">
        <f>7500+16500+11340+26200+7500+21500+10000+20000+21600+125000+85200+263000</f>
        <v>615340</v>
      </c>
      <c r="L121" s="684">
        <f t="shared" si="59"/>
        <v>263160</v>
      </c>
      <c r="M121" s="684">
        <f t="shared" si="60"/>
        <v>70.044393853158795</v>
      </c>
      <c r="N121" s="691" t="s">
        <v>45</v>
      </c>
    </row>
    <row r="122" spans="1:14" s="686" customFormat="1" ht="33" customHeight="1" x14ac:dyDescent="0.2">
      <c r="A122" s="693">
        <v>67</v>
      </c>
      <c r="B122" s="694" t="s">
        <v>46</v>
      </c>
      <c r="C122" s="680">
        <f t="shared" si="45"/>
        <v>278000</v>
      </c>
      <c r="D122" s="684">
        <v>278000</v>
      </c>
      <c r="E122" s="684"/>
      <c r="F122" s="682" t="s">
        <v>738</v>
      </c>
      <c r="G122" s="682"/>
      <c r="H122" s="682"/>
      <c r="I122" s="684"/>
      <c r="J122" s="684"/>
      <c r="K122" s="684">
        <f>K123+K124+K125+K126</f>
        <v>260551</v>
      </c>
      <c r="L122" s="684">
        <f t="shared" si="59"/>
        <v>17449</v>
      </c>
      <c r="M122" s="684">
        <f t="shared" si="60"/>
        <v>93.723381294964028</v>
      </c>
      <c r="N122" s="691" t="s">
        <v>45</v>
      </c>
    </row>
    <row r="123" spans="1:14" ht="40.5" hidden="1" customHeight="1" x14ac:dyDescent="0.2">
      <c r="A123" s="65"/>
      <c r="B123" s="81" t="s">
        <v>297</v>
      </c>
      <c r="C123" s="115"/>
      <c r="D123" s="69"/>
      <c r="E123" s="69"/>
      <c r="F123" s="584"/>
      <c r="G123" s="583"/>
      <c r="H123" s="583"/>
      <c r="I123" s="69"/>
      <c r="J123" s="69"/>
      <c r="K123" s="69">
        <f>26000+26400+8000+8800+1050+4000+4800+4800-1200</f>
        <v>82650</v>
      </c>
      <c r="L123" s="69"/>
      <c r="M123" s="67"/>
      <c r="N123" s="91"/>
    </row>
    <row r="124" spans="1:14" ht="40.5" hidden="1" customHeight="1" x14ac:dyDescent="0.2">
      <c r="A124" s="65"/>
      <c r="B124" s="81" t="s">
        <v>298</v>
      </c>
      <c r="C124" s="115"/>
      <c r="D124" s="69"/>
      <c r="E124" s="69"/>
      <c r="F124" s="584"/>
      <c r="G124" s="583"/>
      <c r="H124" s="583"/>
      <c r="I124" s="69"/>
      <c r="J124" s="69"/>
      <c r="K124" s="69">
        <f>11700+1530+24270+43300</f>
        <v>80800</v>
      </c>
      <c r="L124" s="69"/>
      <c r="M124" s="67"/>
      <c r="N124" s="91"/>
    </row>
    <row r="125" spans="1:14" ht="56.25" hidden="1" x14ac:dyDescent="0.2">
      <c r="A125" s="65"/>
      <c r="B125" s="81" t="s">
        <v>299</v>
      </c>
      <c r="C125" s="115"/>
      <c r="D125" s="69"/>
      <c r="E125" s="69"/>
      <c r="F125" s="584"/>
      <c r="G125" s="583"/>
      <c r="H125" s="583"/>
      <c r="I125" s="69"/>
      <c r="J125" s="69"/>
      <c r="K125" s="69">
        <f>23800+11016+10000+1440</f>
        <v>46256</v>
      </c>
      <c r="L125" s="69"/>
      <c r="M125" s="67"/>
      <c r="N125" s="91"/>
    </row>
    <row r="126" spans="1:14" ht="24.75" hidden="1" customHeight="1" x14ac:dyDescent="0.2">
      <c r="A126" s="65"/>
      <c r="B126" s="81" t="s">
        <v>300</v>
      </c>
      <c r="C126" s="115"/>
      <c r="D126" s="69"/>
      <c r="E126" s="69"/>
      <c r="F126" s="584"/>
      <c r="G126" s="583"/>
      <c r="H126" s="583"/>
      <c r="I126" s="69"/>
      <c r="J126" s="69"/>
      <c r="K126" s="69">
        <f>900+20000+20000+9945</f>
        <v>50845</v>
      </c>
      <c r="L126" s="69"/>
      <c r="M126" s="67"/>
      <c r="N126" s="91"/>
    </row>
    <row r="127" spans="1:14" ht="21" x14ac:dyDescent="0.2">
      <c r="A127" s="762" t="s">
        <v>217</v>
      </c>
      <c r="B127" s="762"/>
      <c r="C127" s="98">
        <f>C128+C129</f>
        <v>2656000</v>
      </c>
      <c r="D127" s="98">
        <f t="shared" ref="D127:E127" si="61">D128+D129</f>
        <v>2656000</v>
      </c>
      <c r="E127" s="98">
        <f t="shared" si="61"/>
        <v>0</v>
      </c>
      <c r="F127" s="584"/>
      <c r="G127" s="588"/>
      <c r="H127" s="588"/>
      <c r="I127" s="98">
        <f t="shared" ref="I127:J127" si="62">I128+I129</f>
        <v>0</v>
      </c>
      <c r="J127" s="98">
        <f t="shared" si="62"/>
        <v>358</v>
      </c>
      <c r="K127" s="59">
        <f>K128+K129</f>
        <v>1041799.5</v>
      </c>
      <c r="L127" s="59">
        <f>L128+L129</f>
        <v>1613842.5</v>
      </c>
      <c r="M127" s="59">
        <f t="shared" ref="M127:M143" si="63">K127*100/C127</f>
        <v>39.224378765060244</v>
      </c>
      <c r="N127" s="395"/>
    </row>
    <row r="128" spans="1:14" s="686" customFormat="1" ht="36.75" customHeight="1" x14ac:dyDescent="0.2">
      <c r="A128" s="693">
        <v>68</v>
      </c>
      <c r="B128" s="694" t="s">
        <v>47</v>
      </c>
      <c r="C128" s="680">
        <f t="shared" si="45"/>
        <v>898900</v>
      </c>
      <c r="D128" s="684">
        <f>2247900-1349000</f>
        <v>898900</v>
      </c>
      <c r="E128" s="684">
        <v>0</v>
      </c>
      <c r="F128" s="682" t="s">
        <v>738</v>
      </c>
      <c r="G128" s="682"/>
      <c r="H128" s="682"/>
      <c r="I128" s="684"/>
      <c r="J128" s="690">
        <v>358</v>
      </c>
      <c r="K128" s="684">
        <f>196452+9000+5760+18000+19200+22000+76500+424000</f>
        <v>770912</v>
      </c>
      <c r="L128" s="684">
        <f>D128-K128-J128</f>
        <v>127630</v>
      </c>
      <c r="M128" s="684">
        <f t="shared" si="63"/>
        <v>85.761708755145179</v>
      </c>
      <c r="N128" s="691" t="s">
        <v>48</v>
      </c>
    </row>
    <row r="129" spans="1:14" s="686" customFormat="1" ht="35.25" customHeight="1" x14ac:dyDescent="0.2">
      <c r="A129" s="687">
        <v>69</v>
      </c>
      <c r="B129" s="694" t="s">
        <v>49</v>
      </c>
      <c r="C129" s="680">
        <f t="shared" si="45"/>
        <v>1757100</v>
      </c>
      <c r="D129" s="684">
        <v>1757100</v>
      </c>
      <c r="E129" s="684">
        <v>0</v>
      </c>
      <c r="F129" s="682" t="s">
        <v>738</v>
      </c>
      <c r="G129" s="682"/>
      <c r="H129" s="682"/>
      <c r="I129" s="684"/>
      <c r="J129" s="684"/>
      <c r="K129" s="684">
        <f>10048+181525.5+690+78624</f>
        <v>270887.5</v>
      </c>
      <c r="L129" s="684">
        <f t="shared" ref="L129:L137" si="64">C129-K129</f>
        <v>1486212.5</v>
      </c>
      <c r="M129" s="684">
        <f t="shared" si="63"/>
        <v>15.416737806613169</v>
      </c>
      <c r="N129" s="691" t="s">
        <v>50</v>
      </c>
    </row>
    <row r="130" spans="1:14" ht="18.75" customHeight="1" x14ac:dyDescent="0.2">
      <c r="A130" s="780" t="s">
        <v>51</v>
      </c>
      <c r="B130" s="781"/>
      <c r="C130" s="98">
        <f>C131</f>
        <v>5765200</v>
      </c>
      <c r="D130" s="98">
        <f t="shared" ref="D130:E130" si="65">D131</f>
        <v>5390200</v>
      </c>
      <c r="E130" s="98">
        <f t="shared" si="65"/>
        <v>375000</v>
      </c>
      <c r="F130" s="584"/>
      <c r="G130" s="588"/>
      <c r="H130" s="588"/>
      <c r="I130" s="98">
        <f t="shared" ref="I130:J130" si="66">I131</f>
        <v>375000</v>
      </c>
      <c r="J130" s="98">
        <f t="shared" si="66"/>
        <v>114831</v>
      </c>
      <c r="K130" s="59">
        <f>K131</f>
        <v>2863993</v>
      </c>
      <c r="L130" s="59">
        <f>L131</f>
        <v>2786376</v>
      </c>
      <c r="M130" s="59">
        <f t="shared" si="63"/>
        <v>49.677253174217718</v>
      </c>
      <c r="N130" s="395"/>
    </row>
    <row r="131" spans="1:14" ht="18.75" customHeight="1" x14ac:dyDescent="0.2">
      <c r="A131" s="758" t="s">
        <v>713</v>
      </c>
      <c r="B131" s="757"/>
      <c r="C131" s="98">
        <f>C132+C136+C138</f>
        <v>5765200</v>
      </c>
      <c r="D131" s="98">
        <f t="shared" ref="D131:E131" si="67">D132+D136+D138</f>
        <v>5390200</v>
      </c>
      <c r="E131" s="98">
        <f t="shared" si="67"/>
        <v>375000</v>
      </c>
      <c r="F131" s="584"/>
      <c r="G131" s="588"/>
      <c r="H131" s="588"/>
      <c r="I131" s="98">
        <f t="shared" ref="I131:J131" si="68">I132+I136+I138</f>
        <v>375000</v>
      </c>
      <c r="J131" s="98">
        <f t="shared" si="68"/>
        <v>114831</v>
      </c>
      <c r="K131" s="59">
        <f>K132+K136+K138</f>
        <v>2863993</v>
      </c>
      <c r="L131" s="59">
        <f>L132+L136+L138</f>
        <v>2786376</v>
      </c>
      <c r="M131" s="59">
        <f t="shared" si="63"/>
        <v>49.677253174217718</v>
      </c>
      <c r="N131" s="400"/>
    </row>
    <row r="132" spans="1:14" ht="21" x14ac:dyDescent="0.2">
      <c r="A132" s="760" t="s">
        <v>218</v>
      </c>
      <c r="B132" s="761"/>
      <c r="C132" s="98">
        <f>C133</f>
        <v>2375000</v>
      </c>
      <c r="D132" s="98">
        <f t="shared" ref="D132:E132" si="69">D133</f>
        <v>2000000</v>
      </c>
      <c r="E132" s="98">
        <f t="shared" si="69"/>
        <v>375000</v>
      </c>
      <c r="F132" s="584"/>
      <c r="G132" s="588"/>
      <c r="H132" s="588"/>
      <c r="I132" s="98">
        <f t="shared" ref="I132:J132" si="70">I133</f>
        <v>375000</v>
      </c>
      <c r="J132" s="98">
        <f t="shared" si="70"/>
        <v>0</v>
      </c>
      <c r="K132" s="59">
        <f>K133</f>
        <v>2375000</v>
      </c>
      <c r="L132" s="59">
        <f>L133</f>
        <v>0</v>
      </c>
      <c r="M132" s="59">
        <f t="shared" si="63"/>
        <v>100</v>
      </c>
      <c r="N132" s="395"/>
    </row>
    <row r="133" spans="1:14" ht="35.25" customHeight="1" x14ac:dyDescent="0.2">
      <c r="A133" s="5">
        <v>70</v>
      </c>
      <c r="B133" s="93" t="s">
        <v>52</v>
      </c>
      <c r="C133" s="115">
        <f t="shared" si="45"/>
        <v>2375000</v>
      </c>
      <c r="D133" s="69">
        <f>D134</f>
        <v>2000000</v>
      </c>
      <c r="E133" s="69">
        <f>E135</f>
        <v>375000</v>
      </c>
      <c r="F133" s="586"/>
      <c r="G133" s="583"/>
      <c r="H133" s="583"/>
      <c r="I133" s="69">
        <f>I135</f>
        <v>375000</v>
      </c>
      <c r="J133" s="69">
        <f>J135</f>
        <v>0</v>
      </c>
      <c r="K133" s="69">
        <f>K134+K135</f>
        <v>2375000</v>
      </c>
      <c r="L133" s="69">
        <f>L134+L135</f>
        <v>0</v>
      </c>
      <c r="M133" s="69">
        <f t="shared" si="63"/>
        <v>100</v>
      </c>
      <c r="N133" s="91" t="s">
        <v>14</v>
      </c>
    </row>
    <row r="134" spans="1:14" ht="23.25" customHeight="1" x14ac:dyDescent="0.2">
      <c r="A134" s="5"/>
      <c r="B134" s="93" t="s">
        <v>81</v>
      </c>
      <c r="C134" s="115"/>
      <c r="D134" s="593">
        <v>2000000</v>
      </c>
      <c r="E134" s="593"/>
      <c r="F134" s="586"/>
      <c r="G134" s="583"/>
      <c r="H134" s="583"/>
      <c r="I134" s="69"/>
      <c r="J134" s="69"/>
      <c r="K134" s="69">
        <f>500000+300000+200000+50000+200000+250000+500000</f>
        <v>2000000</v>
      </c>
      <c r="L134" s="69">
        <f>D134-K134</f>
        <v>0</v>
      </c>
      <c r="M134" s="69">
        <f>K134*100/D134</f>
        <v>100</v>
      </c>
      <c r="N134" s="91"/>
    </row>
    <row r="135" spans="1:14" ht="40.5" customHeight="1" x14ac:dyDescent="0.2">
      <c r="A135" s="5"/>
      <c r="B135" s="93" t="s">
        <v>307</v>
      </c>
      <c r="C135" s="115">
        <f>D135+E135</f>
        <v>375000</v>
      </c>
      <c r="D135" s="593"/>
      <c r="E135" s="593">
        <v>375000</v>
      </c>
      <c r="F135" s="583" t="s">
        <v>353</v>
      </c>
      <c r="G135" s="583" t="s">
        <v>283</v>
      </c>
      <c r="H135" s="583" t="s">
        <v>644</v>
      </c>
      <c r="I135" s="69">
        <v>375000</v>
      </c>
      <c r="J135" s="69">
        <f>E135-I135</f>
        <v>0</v>
      </c>
      <c r="K135" s="69">
        <v>375000</v>
      </c>
      <c r="L135" s="69">
        <f t="shared" si="64"/>
        <v>0</v>
      </c>
      <c r="M135" s="69">
        <f>K135*100/C135</f>
        <v>100</v>
      </c>
      <c r="N135" s="91"/>
    </row>
    <row r="136" spans="1:14" ht="21" x14ac:dyDescent="0.2">
      <c r="A136" s="762" t="s">
        <v>219</v>
      </c>
      <c r="B136" s="762"/>
      <c r="C136" s="98">
        <f>C137</f>
        <v>3000000</v>
      </c>
      <c r="D136" s="98">
        <f t="shared" ref="D136:E136" si="71">D137</f>
        <v>3000000</v>
      </c>
      <c r="E136" s="98">
        <f t="shared" si="71"/>
        <v>0</v>
      </c>
      <c r="F136" s="584"/>
      <c r="G136" s="588"/>
      <c r="H136" s="588"/>
      <c r="I136" s="98">
        <f t="shared" ref="I136:J136" si="72">I137</f>
        <v>0</v>
      </c>
      <c r="J136" s="98">
        <f t="shared" si="72"/>
        <v>0</v>
      </c>
      <c r="K136" s="59">
        <f>K137</f>
        <v>295000</v>
      </c>
      <c r="L136" s="59">
        <f>L137</f>
        <v>2705000</v>
      </c>
      <c r="M136" s="59">
        <f t="shared" si="63"/>
        <v>9.8333333333333339</v>
      </c>
      <c r="N136" s="395"/>
    </row>
    <row r="137" spans="1:14" s="686" customFormat="1" ht="35.25" customHeight="1" x14ac:dyDescent="0.2">
      <c r="A137" s="678">
        <v>71</v>
      </c>
      <c r="B137" s="694" t="s">
        <v>53</v>
      </c>
      <c r="C137" s="680">
        <f t="shared" si="45"/>
        <v>3000000</v>
      </c>
      <c r="D137" s="684">
        <v>3000000</v>
      </c>
      <c r="E137" s="684"/>
      <c r="F137" s="682" t="s">
        <v>738</v>
      </c>
      <c r="G137" s="682"/>
      <c r="H137" s="682"/>
      <c r="I137" s="684"/>
      <c r="J137" s="684"/>
      <c r="K137" s="684">
        <f>228000+6325+15675+45000</f>
        <v>295000</v>
      </c>
      <c r="L137" s="684">
        <f t="shared" si="64"/>
        <v>2705000</v>
      </c>
      <c r="M137" s="684">
        <f t="shared" si="63"/>
        <v>9.8333333333333339</v>
      </c>
      <c r="N137" s="691" t="s">
        <v>14</v>
      </c>
    </row>
    <row r="138" spans="1:14" ht="21" x14ac:dyDescent="0.2">
      <c r="A138" s="762" t="s">
        <v>220</v>
      </c>
      <c r="B138" s="762"/>
      <c r="C138" s="98">
        <f>C139</f>
        <v>390200</v>
      </c>
      <c r="D138" s="98">
        <f t="shared" ref="D138:E138" si="73">D139</f>
        <v>390200</v>
      </c>
      <c r="E138" s="98">
        <f t="shared" si="73"/>
        <v>0</v>
      </c>
      <c r="F138" s="584"/>
      <c r="G138" s="588"/>
      <c r="H138" s="588"/>
      <c r="I138" s="98">
        <f t="shared" ref="I138:J138" si="74">I139</f>
        <v>0</v>
      </c>
      <c r="J138" s="98">
        <f t="shared" si="74"/>
        <v>114831</v>
      </c>
      <c r="K138" s="59">
        <f>K139</f>
        <v>193993</v>
      </c>
      <c r="L138" s="59">
        <f>L139</f>
        <v>81376</v>
      </c>
      <c r="M138" s="59">
        <f t="shared" si="63"/>
        <v>49.716299333675039</v>
      </c>
      <c r="N138" s="395"/>
    </row>
    <row r="139" spans="1:14" s="686" customFormat="1" ht="34.5" customHeight="1" x14ac:dyDescent="0.2">
      <c r="A139" s="678">
        <v>72</v>
      </c>
      <c r="B139" s="695" t="s">
        <v>54</v>
      </c>
      <c r="C139" s="680">
        <f t="shared" si="45"/>
        <v>390200</v>
      </c>
      <c r="D139" s="684">
        <v>390200</v>
      </c>
      <c r="E139" s="684"/>
      <c r="F139" s="682" t="s">
        <v>738</v>
      </c>
      <c r="G139" s="682"/>
      <c r="H139" s="682"/>
      <c r="I139" s="684"/>
      <c r="J139" s="690">
        <f>16052+98779</f>
        <v>114831</v>
      </c>
      <c r="K139" s="684">
        <f>38000+2000-6572+720+5221+76000+78624</f>
        <v>193993</v>
      </c>
      <c r="L139" s="684">
        <f>C139-K139-J139</f>
        <v>81376</v>
      </c>
      <c r="M139" s="684">
        <f t="shared" si="63"/>
        <v>49.716299333675039</v>
      </c>
      <c r="N139" s="691" t="s">
        <v>50</v>
      </c>
    </row>
    <row r="140" spans="1:14" ht="38.25" customHeight="1" x14ac:dyDescent="0.2">
      <c r="A140" s="758" t="s">
        <v>55</v>
      </c>
      <c r="B140" s="757"/>
      <c r="C140" s="98">
        <f>C141</f>
        <v>5423788.6600000001</v>
      </c>
      <c r="D140" s="98">
        <f t="shared" ref="D140:E141" si="75">D141</f>
        <v>5423788.6600000001</v>
      </c>
      <c r="E140" s="98">
        <f t="shared" si="75"/>
        <v>0</v>
      </c>
      <c r="F140" s="584"/>
      <c r="G140" s="588"/>
      <c r="H140" s="588"/>
      <c r="I140" s="98">
        <f t="shared" ref="I140:J141" si="76">I141</f>
        <v>0</v>
      </c>
      <c r="J140" s="98">
        <f t="shared" si="76"/>
        <v>0</v>
      </c>
      <c r="K140" s="59">
        <f>K141</f>
        <v>5423788.6600000001</v>
      </c>
      <c r="L140" s="59">
        <f>L141</f>
        <v>0</v>
      </c>
      <c r="M140" s="59">
        <f t="shared" si="63"/>
        <v>100</v>
      </c>
      <c r="N140" s="397"/>
    </row>
    <row r="141" spans="1:14" ht="21" x14ac:dyDescent="0.2">
      <c r="A141" s="758" t="s">
        <v>982</v>
      </c>
      <c r="B141" s="757"/>
      <c r="C141" s="98">
        <f>C142</f>
        <v>5423788.6600000001</v>
      </c>
      <c r="D141" s="98">
        <f t="shared" si="75"/>
        <v>5423788.6600000001</v>
      </c>
      <c r="E141" s="98">
        <f t="shared" si="75"/>
        <v>0</v>
      </c>
      <c r="F141" s="584"/>
      <c r="G141" s="588"/>
      <c r="H141" s="588"/>
      <c r="I141" s="98">
        <f t="shared" si="76"/>
        <v>0</v>
      </c>
      <c r="J141" s="98">
        <f t="shared" si="76"/>
        <v>0</v>
      </c>
      <c r="K141" s="59">
        <f>K142</f>
        <v>5423788.6600000001</v>
      </c>
      <c r="L141" s="59">
        <f>L142</f>
        <v>0</v>
      </c>
      <c r="M141" s="59">
        <f t="shared" si="63"/>
        <v>100</v>
      </c>
      <c r="N141" s="397"/>
    </row>
    <row r="142" spans="1:14" ht="39" customHeight="1" x14ac:dyDescent="0.2">
      <c r="A142" s="762" t="s">
        <v>221</v>
      </c>
      <c r="B142" s="762"/>
      <c r="C142" s="98">
        <f>D142+E142</f>
        <v>5423788.6600000001</v>
      </c>
      <c r="D142" s="98">
        <f>D143+D144+D145+D146+D147+D148+D149+D150+D153</f>
        <v>5423788.6600000001</v>
      </c>
      <c r="E142" s="59">
        <v>0</v>
      </c>
      <c r="F142" s="586"/>
      <c r="G142" s="588"/>
      <c r="H142" s="588"/>
      <c r="I142" s="98">
        <f>I143+I144+I145+I146+I147+I148+I149+I150+I153</f>
        <v>0</v>
      </c>
      <c r="J142" s="98">
        <f>J143+J144+J145+J146+J147+J148+J149+J150+J153</f>
        <v>0</v>
      </c>
      <c r="K142" s="59">
        <f>K143+K144+K145+K146+K147+K148+K149+K150+K153</f>
        <v>5423788.6600000001</v>
      </c>
      <c r="L142" s="59">
        <f>L143+L144+L145+L146+L147+L148+L149+L150+L153</f>
        <v>0</v>
      </c>
      <c r="M142" s="59">
        <f t="shared" si="63"/>
        <v>100</v>
      </c>
      <c r="N142" s="397"/>
    </row>
    <row r="143" spans="1:14" ht="47.25" x14ac:dyDescent="0.2">
      <c r="A143" s="5">
        <v>73</v>
      </c>
      <c r="B143" s="71" t="s">
        <v>56</v>
      </c>
      <c r="C143" s="115">
        <f t="shared" si="45"/>
        <v>500000</v>
      </c>
      <c r="D143" s="577">
        <v>500000</v>
      </c>
      <c r="E143" s="69"/>
      <c r="F143" s="583" t="s">
        <v>353</v>
      </c>
      <c r="G143" s="583"/>
      <c r="H143" s="583"/>
      <c r="I143" s="69"/>
      <c r="J143" s="69"/>
      <c r="K143" s="69">
        <f>52000+27600+3000+3600+41000+20000+310000+4800+38000</f>
        <v>500000</v>
      </c>
      <c r="L143" s="69">
        <f>C143-K143</f>
        <v>0</v>
      </c>
      <c r="M143" s="69">
        <f t="shared" si="63"/>
        <v>100</v>
      </c>
      <c r="N143" s="94" t="s">
        <v>620</v>
      </c>
    </row>
    <row r="144" spans="1:14" ht="55.5" customHeight="1" x14ac:dyDescent="0.2">
      <c r="A144" s="5">
        <v>74</v>
      </c>
      <c r="B144" s="71" t="s">
        <v>58</v>
      </c>
      <c r="C144" s="115">
        <f t="shared" si="45"/>
        <v>500000</v>
      </c>
      <c r="D144" s="577">
        <v>500000</v>
      </c>
      <c r="E144" s="69"/>
      <c r="F144" s="583" t="s">
        <v>353</v>
      </c>
      <c r="G144" s="583"/>
      <c r="H144" s="583"/>
      <c r="I144" s="69"/>
      <c r="J144" s="69"/>
      <c r="K144" s="69">
        <v>500000</v>
      </c>
      <c r="L144" s="69">
        <f t="shared" ref="L144:L147" si="77">C144-K144</f>
        <v>0</v>
      </c>
      <c r="M144" s="69">
        <f t="shared" ref="M144:M150" si="78">K144*100/C144</f>
        <v>100</v>
      </c>
      <c r="N144" s="85" t="s">
        <v>59</v>
      </c>
    </row>
    <row r="145" spans="1:15" ht="66" customHeight="1" x14ac:dyDescent="0.2">
      <c r="A145" s="5">
        <v>75</v>
      </c>
      <c r="B145" s="71" t="s">
        <v>60</v>
      </c>
      <c r="C145" s="115">
        <f t="shared" si="45"/>
        <v>600000</v>
      </c>
      <c r="D145" s="577">
        <v>600000</v>
      </c>
      <c r="E145" s="69"/>
      <c r="F145" s="583" t="s">
        <v>353</v>
      </c>
      <c r="G145" s="583"/>
      <c r="H145" s="583"/>
      <c r="I145" s="69"/>
      <c r="J145" s="69"/>
      <c r="K145" s="69">
        <f>100000+100000+100000+100000+100000+100000</f>
        <v>600000</v>
      </c>
      <c r="L145" s="69">
        <f t="shared" si="77"/>
        <v>0</v>
      </c>
      <c r="M145" s="69">
        <f t="shared" si="78"/>
        <v>100</v>
      </c>
      <c r="N145" s="85" t="s">
        <v>621</v>
      </c>
    </row>
    <row r="146" spans="1:15" ht="49.5" customHeight="1" x14ac:dyDescent="0.2">
      <c r="A146" s="5">
        <v>76</v>
      </c>
      <c r="B146" s="66" t="s">
        <v>61</v>
      </c>
      <c r="C146" s="115">
        <f t="shared" si="45"/>
        <v>500000</v>
      </c>
      <c r="D146" s="577">
        <v>500000</v>
      </c>
      <c r="E146" s="69"/>
      <c r="F146" s="583" t="s">
        <v>353</v>
      </c>
      <c r="G146" s="583"/>
      <c r="H146" s="583"/>
      <c r="I146" s="69"/>
      <c r="J146" s="69"/>
      <c r="K146" s="69">
        <f>75000+100000+75000+100000+50000+100000</f>
        <v>500000</v>
      </c>
      <c r="L146" s="69">
        <f t="shared" si="77"/>
        <v>0</v>
      </c>
      <c r="M146" s="69">
        <f t="shared" si="78"/>
        <v>100</v>
      </c>
      <c r="N146" s="85" t="s">
        <v>622</v>
      </c>
    </row>
    <row r="147" spans="1:15" ht="53.25" customHeight="1" x14ac:dyDescent="0.2">
      <c r="A147" s="5">
        <v>77</v>
      </c>
      <c r="B147" s="71" t="s">
        <v>62</v>
      </c>
      <c r="C147" s="115">
        <f t="shared" si="45"/>
        <v>500000</v>
      </c>
      <c r="D147" s="69">
        <v>500000</v>
      </c>
      <c r="E147" s="69"/>
      <c r="F147" s="583" t="s">
        <v>353</v>
      </c>
      <c r="G147" s="583"/>
      <c r="H147" s="583"/>
      <c r="I147" s="69"/>
      <c r="J147" s="69"/>
      <c r="K147" s="69">
        <v>500000</v>
      </c>
      <c r="L147" s="69">
        <f t="shared" si="77"/>
        <v>0</v>
      </c>
      <c r="M147" s="69">
        <f t="shared" si="78"/>
        <v>100</v>
      </c>
      <c r="N147" s="85" t="s">
        <v>623</v>
      </c>
    </row>
    <row r="148" spans="1:15" ht="54.75" customHeight="1" x14ac:dyDescent="0.2">
      <c r="A148" s="5">
        <v>78</v>
      </c>
      <c r="B148" s="71" t="s">
        <v>63</v>
      </c>
      <c r="C148" s="115">
        <f t="shared" si="45"/>
        <v>519000</v>
      </c>
      <c r="D148" s="577">
        <f>527500-8500</f>
        <v>519000</v>
      </c>
      <c r="E148" s="69"/>
      <c r="F148" s="583" t="s">
        <v>353</v>
      </c>
      <c r="G148" s="583"/>
      <c r="H148" s="583"/>
      <c r="I148" s="69"/>
      <c r="J148" s="69">
        <v>0</v>
      </c>
      <c r="K148" s="69">
        <f>132000-8000+35000+16700+13500+100000+31500+6300+22000+30000+100000+40000</f>
        <v>519000</v>
      </c>
      <c r="L148" s="69">
        <f>C148-K148-J148</f>
        <v>0</v>
      </c>
      <c r="M148" s="69">
        <v>100</v>
      </c>
      <c r="N148" s="85" t="s">
        <v>624</v>
      </c>
    </row>
    <row r="149" spans="1:15" ht="66.75" customHeight="1" x14ac:dyDescent="0.2">
      <c r="A149" s="5">
        <v>79</v>
      </c>
      <c r="B149" s="71" t="s">
        <v>64</v>
      </c>
      <c r="C149" s="115">
        <f t="shared" si="45"/>
        <v>478500</v>
      </c>
      <c r="D149" s="69">
        <f>500000-21500</f>
        <v>478500</v>
      </c>
      <c r="E149" s="69"/>
      <c r="F149" s="583" t="s">
        <v>353</v>
      </c>
      <c r="G149" s="583"/>
      <c r="H149" s="583"/>
      <c r="I149" s="69"/>
      <c r="J149" s="69">
        <v>0</v>
      </c>
      <c r="K149" s="69">
        <f>22700+433800+22000</f>
        <v>478500</v>
      </c>
      <c r="L149" s="69">
        <f>C149-K149-J149</f>
        <v>0</v>
      </c>
      <c r="M149" s="69">
        <v>100</v>
      </c>
      <c r="N149" s="85" t="s">
        <v>65</v>
      </c>
    </row>
    <row r="150" spans="1:15" s="686" customFormat="1" ht="64.5" customHeight="1" x14ac:dyDescent="0.2">
      <c r="A150" s="678">
        <v>80</v>
      </c>
      <c r="B150" s="696" t="s">
        <v>66</v>
      </c>
      <c r="C150" s="680">
        <f t="shared" si="45"/>
        <v>500000</v>
      </c>
      <c r="D150" s="684">
        <v>500000</v>
      </c>
      <c r="E150" s="684"/>
      <c r="F150" s="682" t="s">
        <v>738</v>
      </c>
      <c r="G150" s="682"/>
      <c r="H150" s="682"/>
      <c r="I150" s="684"/>
      <c r="J150" s="684"/>
      <c r="K150" s="684">
        <f>K151+K152</f>
        <v>500000</v>
      </c>
      <c r="L150" s="684">
        <f>C150-K150</f>
        <v>0</v>
      </c>
      <c r="M150" s="684">
        <f t="shared" si="78"/>
        <v>100</v>
      </c>
      <c r="N150" s="685" t="s">
        <v>67</v>
      </c>
    </row>
    <row r="151" spans="1:15" ht="24.75" customHeight="1" x14ac:dyDescent="0.2">
      <c r="A151" s="5"/>
      <c r="B151" s="80" t="s">
        <v>616</v>
      </c>
      <c r="C151" s="115">
        <f t="shared" si="45"/>
        <v>250000</v>
      </c>
      <c r="D151" s="69">
        <v>250000</v>
      </c>
      <c r="E151" s="69"/>
      <c r="F151" s="583" t="s">
        <v>353</v>
      </c>
      <c r="G151" s="583"/>
      <c r="H151" s="583"/>
      <c r="I151" s="69"/>
      <c r="J151" s="69"/>
      <c r="K151" s="69">
        <f>100000+40000+30000+60000+20000</f>
        <v>250000</v>
      </c>
      <c r="L151" s="69">
        <f>D151-K151</f>
        <v>0</v>
      </c>
      <c r="M151" s="69">
        <f>K151*100/D151</f>
        <v>100</v>
      </c>
      <c r="N151" s="85"/>
    </row>
    <row r="152" spans="1:15" ht="24" customHeight="1" x14ac:dyDescent="0.2">
      <c r="A152" s="5"/>
      <c r="B152" s="80" t="s">
        <v>617</v>
      </c>
      <c r="C152" s="115">
        <f t="shared" si="45"/>
        <v>250000</v>
      </c>
      <c r="D152" s="69">
        <v>250000</v>
      </c>
      <c r="E152" s="69"/>
      <c r="F152" s="583"/>
      <c r="G152" s="583"/>
      <c r="H152" s="583"/>
      <c r="I152" s="69"/>
      <c r="J152" s="69"/>
      <c r="K152" s="69">
        <v>250000</v>
      </c>
      <c r="L152" s="69">
        <f>D152-K152</f>
        <v>0</v>
      </c>
      <c r="M152" s="69">
        <f>K152*100/D152</f>
        <v>100</v>
      </c>
      <c r="N152" s="85"/>
    </row>
    <row r="153" spans="1:15" ht="66" customHeight="1" x14ac:dyDescent="0.2">
      <c r="A153" s="5">
        <v>81</v>
      </c>
      <c r="B153" s="95" t="s">
        <v>68</v>
      </c>
      <c r="C153" s="115">
        <f t="shared" si="45"/>
        <v>1326288.6599999999</v>
      </c>
      <c r="D153" s="69">
        <f>1347800-21511.34</f>
        <v>1326288.6599999999</v>
      </c>
      <c r="E153" s="69"/>
      <c r="F153" s="583" t="s">
        <v>353</v>
      </c>
      <c r="G153" s="583"/>
      <c r="H153" s="583"/>
      <c r="I153" s="69"/>
      <c r="J153" s="69">
        <v>0</v>
      </c>
      <c r="K153" s="69">
        <f>28000+28800+68000+44000+84000+7038.46+13360+9565.2+6000+30000+30000+2000+2000+3500+24000+45000+9600+50000+29985+100000+11000+14000+7500+30000+9000+96500+43660+30000+11420+20000+18000+62000+100000+30000+30000+153360+10000+10000+25000</f>
        <v>1326288.6599999999</v>
      </c>
      <c r="L153" s="69">
        <f>C153-K153-J153</f>
        <v>0</v>
      </c>
      <c r="M153" s="69">
        <v>100</v>
      </c>
      <c r="N153" s="85" t="s">
        <v>69</v>
      </c>
    </row>
    <row r="154" spans="1:15" ht="24.75" customHeight="1" x14ac:dyDescent="0.2">
      <c r="A154" s="5"/>
      <c r="B154" s="96" t="s">
        <v>70</v>
      </c>
      <c r="C154" s="98">
        <v>8000000</v>
      </c>
      <c r="D154" s="98">
        <v>8000000</v>
      </c>
      <c r="E154" s="59">
        <v>0</v>
      </c>
      <c r="F154" s="594"/>
      <c r="G154" s="595"/>
      <c r="H154" s="595"/>
      <c r="I154" s="596"/>
      <c r="J154" s="596">
        <v>0</v>
      </c>
      <c r="K154" s="98">
        <f>'งบ 8 ล้าน'!E6</f>
        <v>6275906.04</v>
      </c>
      <c r="L154" s="98">
        <f>C154-K154</f>
        <v>1724093.96</v>
      </c>
      <c r="M154" s="59">
        <f>K154*100/C154</f>
        <v>78.448825499999998</v>
      </c>
      <c r="N154" s="401"/>
    </row>
    <row r="155" spans="1:15" s="117" customFormat="1" ht="24.75" customHeight="1" x14ac:dyDescent="0.2">
      <c r="A155" s="5"/>
      <c r="B155" s="118" t="s">
        <v>350</v>
      </c>
      <c r="C155" s="119">
        <f>D155+E155</f>
        <v>10650778.620000001</v>
      </c>
      <c r="D155" s="119">
        <f>D156+D157+D159+D165+D166+D167+D168+D171+D172+D178</f>
        <v>3667500</v>
      </c>
      <c r="E155" s="120">
        <f>E158+E159+E163+E164+E166+E168+E171</f>
        <v>6983278.6200000001</v>
      </c>
      <c r="F155" s="597"/>
      <c r="G155" s="598"/>
      <c r="H155" s="598"/>
      <c r="I155" s="579">
        <f>I158+I162+I163+I164+I169+I170</f>
        <v>5515143</v>
      </c>
      <c r="J155" s="579">
        <f>J158+J162+J163+J164+J169+J170</f>
        <v>217210.22</v>
      </c>
      <c r="K155" s="119">
        <f>K156+K157+K158+K159+K163+K164+K165+K166+K167+K168+K171+K178</f>
        <v>7507868.4000000004</v>
      </c>
      <c r="L155" s="119">
        <f>L156+L157+L158+L159+L163+L164+L165+L166+L167+L168+L171+L172+L178</f>
        <v>2925700</v>
      </c>
      <c r="M155" s="120">
        <f>K155*100/C155</f>
        <v>70.491263295077289</v>
      </c>
      <c r="N155" s="402"/>
      <c r="O155" s="608">
        <f>C155+C141+C131+C116+C96+C40+C9</f>
        <v>166114000</v>
      </c>
    </row>
    <row r="156" spans="1:15" s="116" customFormat="1" ht="31.5" x14ac:dyDescent="0.2">
      <c r="A156" s="65"/>
      <c r="B156" s="96" t="s">
        <v>379</v>
      </c>
      <c r="C156" s="98">
        <f>D156</f>
        <v>500000</v>
      </c>
      <c r="D156" s="98">
        <v>500000</v>
      </c>
      <c r="E156" s="59"/>
      <c r="F156" s="671" t="s">
        <v>353</v>
      </c>
      <c r="G156" s="595"/>
      <c r="H156" s="595"/>
      <c r="I156" s="596"/>
      <c r="J156" s="59"/>
      <c r="K156" s="98">
        <f>490000+10000</f>
        <v>500000</v>
      </c>
      <c r="L156" s="98">
        <v>0</v>
      </c>
      <c r="M156" s="59">
        <v>100</v>
      </c>
      <c r="N156" s="397" t="s">
        <v>10</v>
      </c>
      <c r="O156" s="125"/>
    </row>
    <row r="157" spans="1:15" s="116" customFormat="1" ht="31.5" x14ac:dyDescent="0.2">
      <c r="A157" s="65"/>
      <c r="B157" s="96" t="s">
        <v>380</v>
      </c>
      <c r="C157" s="98">
        <f>D157</f>
        <v>800000</v>
      </c>
      <c r="D157" s="98">
        <v>800000</v>
      </c>
      <c r="E157" s="59"/>
      <c r="F157" s="671" t="s">
        <v>353</v>
      </c>
      <c r="G157" s="595"/>
      <c r="H157" s="595"/>
      <c r="I157" s="596"/>
      <c r="J157" s="59"/>
      <c r="K157" s="98">
        <f>323000+50000+30000+30000+30000+30000+30000+30000+30000+14000+1000+5000+10000+1600+10000+5000+1000+10000+5000+4900+5000+10000+5000+30000+14000+5000+10000+9000+5000+10000+15000+15000+16500</f>
        <v>800000</v>
      </c>
      <c r="L157" s="98">
        <f>D157-K157</f>
        <v>0</v>
      </c>
      <c r="M157" s="59">
        <f>K157*100/D157</f>
        <v>100</v>
      </c>
      <c r="N157" s="672" t="s">
        <v>351</v>
      </c>
    </row>
    <row r="158" spans="1:15" s="116" customFormat="1" ht="40.5" customHeight="1" x14ac:dyDescent="0.3">
      <c r="A158" s="65"/>
      <c r="B158" s="673" t="s">
        <v>381</v>
      </c>
      <c r="C158" s="98">
        <f>D158+E158</f>
        <v>450000</v>
      </c>
      <c r="D158" s="98"/>
      <c r="E158" s="59">
        <v>450000</v>
      </c>
      <c r="F158" s="671" t="s">
        <v>353</v>
      </c>
      <c r="G158" s="595"/>
      <c r="H158" s="588" t="s">
        <v>670</v>
      </c>
      <c r="I158" s="596"/>
      <c r="J158" s="59"/>
      <c r="K158" s="98">
        <v>450000</v>
      </c>
      <c r="L158" s="98">
        <f>E158-K158</f>
        <v>0</v>
      </c>
      <c r="M158" s="59">
        <f>K158*100/E158</f>
        <v>100</v>
      </c>
      <c r="N158" s="672" t="s">
        <v>36</v>
      </c>
    </row>
    <row r="159" spans="1:15" s="116" customFormat="1" ht="38.25" customHeight="1" x14ac:dyDescent="0.3">
      <c r="A159" s="65"/>
      <c r="B159" s="673" t="s">
        <v>382</v>
      </c>
      <c r="C159" s="98">
        <f t="shared" ref="C159:C164" si="79">D159+E159</f>
        <v>450000</v>
      </c>
      <c r="D159" s="98">
        <v>394500</v>
      </c>
      <c r="E159" s="59">
        <f>E162</f>
        <v>55500</v>
      </c>
      <c r="F159" s="588" t="s">
        <v>353</v>
      </c>
      <c r="G159" s="595"/>
      <c r="H159" s="595"/>
      <c r="I159" s="596"/>
      <c r="J159" s="59"/>
      <c r="K159" s="98">
        <f>K160+K161+K162</f>
        <v>450000</v>
      </c>
      <c r="L159" s="98">
        <f>C159-K159</f>
        <v>0</v>
      </c>
      <c r="M159" s="59">
        <f>K159*100/C159</f>
        <v>100</v>
      </c>
      <c r="N159" s="672" t="s">
        <v>7</v>
      </c>
    </row>
    <row r="160" spans="1:15" s="116" customFormat="1" ht="23.25" hidden="1" customHeight="1" x14ac:dyDescent="0.3">
      <c r="A160" s="65"/>
      <c r="B160" s="674" t="s">
        <v>544</v>
      </c>
      <c r="C160" s="98"/>
      <c r="D160" s="98">
        <v>386700</v>
      </c>
      <c r="E160" s="59"/>
      <c r="F160" s="671"/>
      <c r="G160" s="595"/>
      <c r="H160" s="595"/>
      <c r="I160" s="596"/>
      <c r="J160" s="59"/>
      <c r="K160" s="98">
        <v>386700</v>
      </c>
      <c r="L160" s="98">
        <f>D160-K160</f>
        <v>0</v>
      </c>
      <c r="M160" s="59">
        <f>K160*100/D160</f>
        <v>100</v>
      </c>
      <c r="N160" s="672"/>
    </row>
    <row r="161" spans="1:14" s="116" customFormat="1" ht="18.75" hidden="1" customHeight="1" x14ac:dyDescent="0.3">
      <c r="A161" s="65"/>
      <c r="B161" s="674" t="s">
        <v>545</v>
      </c>
      <c r="C161" s="98"/>
      <c r="D161" s="98">
        <v>7800</v>
      </c>
      <c r="E161" s="59"/>
      <c r="F161" s="671"/>
      <c r="G161" s="595"/>
      <c r="H161" s="595"/>
      <c r="I161" s="596"/>
      <c r="J161" s="59"/>
      <c r="K161" s="98">
        <v>7800</v>
      </c>
      <c r="L161" s="98">
        <f>D161-K161</f>
        <v>0</v>
      </c>
      <c r="M161" s="59">
        <f>K161*100/D161</f>
        <v>100</v>
      </c>
      <c r="N161" s="672"/>
    </row>
    <row r="162" spans="1:14" s="116" customFormat="1" ht="37.5" hidden="1" x14ac:dyDescent="0.3">
      <c r="A162" s="65"/>
      <c r="B162" s="674" t="s">
        <v>546</v>
      </c>
      <c r="C162" s="98"/>
      <c r="D162" s="98"/>
      <c r="E162" s="59">
        <v>55500</v>
      </c>
      <c r="F162" s="671"/>
      <c r="G162" s="595" t="s">
        <v>548</v>
      </c>
      <c r="H162" s="588" t="s">
        <v>549</v>
      </c>
      <c r="I162" s="596">
        <v>55500</v>
      </c>
      <c r="J162" s="59"/>
      <c r="K162" s="98">
        <v>55500</v>
      </c>
      <c r="L162" s="98">
        <f>E162-K162</f>
        <v>0</v>
      </c>
      <c r="M162" s="59">
        <f>K162*100/E162</f>
        <v>100</v>
      </c>
      <c r="N162" s="672"/>
    </row>
    <row r="163" spans="1:14" s="116" customFormat="1" ht="37.5" x14ac:dyDescent="0.2">
      <c r="A163" s="65"/>
      <c r="B163" s="670" t="s">
        <v>383</v>
      </c>
      <c r="C163" s="98">
        <f t="shared" si="79"/>
        <v>3998000</v>
      </c>
      <c r="D163" s="98"/>
      <c r="E163" s="59">
        <f>4000000-2000</f>
        <v>3998000</v>
      </c>
      <c r="F163" s="588" t="s">
        <v>353</v>
      </c>
      <c r="G163" s="595" t="s">
        <v>618</v>
      </c>
      <c r="H163" s="588" t="s">
        <v>951</v>
      </c>
      <c r="I163" s="59">
        <v>3998000</v>
      </c>
      <c r="J163" s="59">
        <v>209074.6</v>
      </c>
      <c r="K163" s="98">
        <v>3788925.4</v>
      </c>
      <c r="L163" s="98">
        <f>E163-K163-J163</f>
        <v>0</v>
      </c>
      <c r="M163" s="59">
        <v>100</v>
      </c>
      <c r="N163" s="397" t="s">
        <v>29</v>
      </c>
    </row>
    <row r="164" spans="1:14" s="116" customFormat="1" ht="51.75" x14ac:dyDescent="0.2">
      <c r="A164" s="65"/>
      <c r="B164" s="670" t="s">
        <v>384</v>
      </c>
      <c r="C164" s="98">
        <f t="shared" si="79"/>
        <v>896778.62</v>
      </c>
      <c r="D164" s="98"/>
      <c r="E164" s="59">
        <f>1490000-587204.36-12017.02+6000</f>
        <v>896778.62</v>
      </c>
      <c r="F164" s="588" t="s">
        <v>353</v>
      </c>
      <c r="G164" s="595" t="s">
        <v>619</v>
      </c>
      <c r="H164" s="588" t="s">
        <v>643</v>
      </c>
      <c r="I164" s="59">
        <v>890043</v>
      </c>
      <c r="J164" s="669">
        <f>12752.64-12017.02+6000</f>
        <v>6735.619999999999</v>
      </c>
      <c r="K164" s="98">
        <f>890043</f>
        <v>890043</v>
      </c>
      <c r="L164" s="98">
        <v>0</v>
      </c>
      <c r="M164" s="59">
        <v>100</v>
      </c>
      <c r="N164" s="397" t="s">
        <v>29</v>
      </c>
    </row>
    <row r="165" spans="1:14" s="116" customFormat="1" ht="35.25" customHeight="1" x14ac:dyDescent="0.2">
      <c r="A165" s="65"/>
      <c r="B165" s="670" t="s">
        <v>387</v>
      </c>
      <c r="C165" s="98">
        <v>470000</v>
      </c>
      <c r="D165" s="98">
        <v>470000</v>
      </c>
      <c r="E165" s="59"/>
      <c r="F165" s="588" t="s">
        <v>353</v>
      </c>
      <c r="G165" s="595"/>
      <c r="H165" s="595"/>
      <c r="I165" s="59"/>
      <c r="J165" s="59"/>
      <c r="K165" s="98">
        <v>470000</v>
      </c>
      <c r="L165" s="98">
        <f>D165-K165</f>
        <v>0</v>
      </c>
      <c r="M165" s="59">
        <f>K165*100/D165</f>
        <v>100</v>
      </c>
      <c r="N165" s="397" t="s">
        <v>57</v>
      </c>
    </row>
    <row r="166" spans="1:14" s="703" customFormat="1" ht="56.25" x14ac:dyDescent="0.2">
      <c r="A166" s="693"/>
      <c r="B166" s="697" t="s">
        <v>979</v>
      </c>
      <c r="C166" s="698">
        <f>D166+E166</f>
        <v>1010000</v>
      </c>
      <c r="D166" s="698">
        <v>0</v>
      </c>
      <c r="E166" s="699">
        <v>1010000</v>
      </c>
      <c r="F166" s="700" t="s">
        <v>738</v>
      </c>
      <c r="G166" s="701"/>
      <c r="H166" s="701"/>
      <c r="I166" s="699"/>
      <c r="J166" s="699"/>
      <c r="K166" s="698"/>
      <c r="L166" s="698">
        <f>E166-K166</f>
        <v>1010000</v>
      </c>
      <c r="M166" s="699"/>
      <c r="N166" s="702" t="s">
        <v>34</v>
      </c>
    </row>
    <row r="167" spans="1:14" s="703" customFormat="1" ht="56.25" x14ac:dyDescent="0.2">
      <c r="A167" s="693"/>
      <c r="B167" s="697" t="s">
        <v>980</v>
      </c>
      <c r="C167" s="698">
        <f>D167+E167</f>
        <v>154000</v>
      </c>
      <c r="D167" s="698">
        <v>154000</v>
      </c>
      <c r="E167" s="699"/>
      <c r="F167" s="700" t="s">
        <v>738</v>
      </c>
      <c r="G167" s="701"/>
      <c r="H167" s="701"/>
      <c r="I167" s="699"/>
      <c r="J167" s="699"/>
      <c r="K167" s="698">
        <f>25300+11000+33000+16000</f>
        <v>85300</v>
      </c>
      <c r="L167" s="698">
        <f>D167-K167</f>
        <v>68700</v>
      </c>
      <c r="M167" s="699">
        <f>K167*100/D167</f>
        <v>55.38961038961039</v>
      </c>
      <c r="N167" s="704" t="s">
        <v>10</v>
      </c>
    </row>
    <row r="168" spans="1:14" s="116" customFormat="1" ht="56.25" x14ac:dyDescent="0.2">
      <c r="A168" s="65"/>
      <c r="B168" s="668" t="s">
        <v>997</v>
      </c>
      <c r="C168" s="98">
        <f t="shared" ref="C168:C170" si="80">D168+E168</f>
        <v>573000</v>
      </c>
      <c r="D168" s="98"/>
      <c r="E168" s="59">
        <f>E169+E170</f>
        <v>573000</v>
      </c>
      <c r="F168" s="588"/>
      <c r="G168" s="595"/>
      <c r="H168" s="595"/>
      <c r="I168" s="59"/>
      <c r="J168" s="59">
        <f>J169+J170</f>
        <v>1400</v>
      </c>
      <c r="K168" s="98">
        <f>K169+K170</f>
        <v>73600</v>
      </c>
      <c r="L168" s="98">
        <f>E168-K168-J168</f>
        <v>498000</v>
      </c>
      <c r="M168" s="59">
        <f>K168*100/E168</f>
        <v>12.844677137870855</v>
      </c>
      <c r="N168" s="397" t="s">
        <v>10</v>
      </c>
    </row>
    <row r="169" spans="1:14" s="116" customFormat="1" ht="37.5" x14ac:dyDescent="0.2">
      <c r="A169" s="65"/>
      <c r="B169" s="66" t="s">
        <v>993</v>
      </c>
      <c r="C169" s="115">
        <f t="shared" si="80"/>
        <v>74000</v>
      </c>
      <c r="D169" s="115"/>
      <c r="E169" s="69">
        <v>74000</v>
      </c>
      <c r="F169" s="583" t="s">
        <v>353</v>
      </c>
      <c r="G169" s="599" t="s">
        <v>995</v>
      </c>
      <c r="H169" s="583" t="s">
        <v>996</v>
      </c>
      <c r="I169" s="69">
        <v>73600</v>
      </c>
      <c r="J169" s="84">
        <f>E169-I169</f>
        <v>400</v>
      </c>
      <c r="K169" s="115">
        <v>73600</v>
      </c>
      <c r="L169" s="115">
        <f>E169-K169-J169</f>
        <v>0</v>
      </c>
      <c r="M169" s="69">
        <v>100</v>
      </c>
      <c r="N169" s="393"/>
    </row>
    <row r="170" spans="1:14" s="703" customFormat="1" ht="37.5" x14ac:dyDescent="0.2">
      <c r="A170" s="693"/>
      <c r="B170" s="705" t="s">
        <v>994</v>
      </c>
      <c r="C170" s="680">
        <f t="shared" si="80"/>
        <v>499000</v>
      </c>
      <c r="D170" s="680"/>
      <c r="E170" s="684">
        <v>499000</v>
      </c>
      <c r="F170" s="682" t="s">
        <v>738</v>
      </c>
      <c r="G170" s="706" t="s">
        <v>995</v>
      </c>
      <c r="H170" s="682" t="s">
        <v>996</v>
      </c>
      <c r="I170" s="684">
        <v>498000</v>
      </c>
      <c r="J170" s="690">
        <f>E170-I170</f>
        <v>1000</v>
      </c>
      <c r="K170" s="680"/>
      <c r="L170" s="680">
        <f>E170-K170-J170</f>
        <v>498000</v>
      </c>
      <c r="M170" s="684">
        <f>K170*100/E170</f>
        <v>0</v>
      </c>
      <c r="N170" s="707"/>
    </row>
    <row r="171" spans="1:14" s="116" customFormat="1" ht="56.25" x14ac:dyDescent="0.2">
      <c r="A171" s="65"/>
      <c r="B171" s="668" t="s">
        <v>1020</v>
      </c>
      <c r="C171" s="98">
        <f>D171+E171</f>
        <v>264000</v>
      </c>
      <c r="D171" s="98">
        <v>264000</v>
      </c>
      <c r="E171" s="59">
        <v>0</v>
      </c>
      <c r="F171" s="588"/>
      <c r="G171" s="595"/>
      <c r="H171" s="588"/>
      <c r="I171" s="59"/>
      <c r="J171" s="669">
        <f>I171</f>
        <v>0</v>
      </c>
      <c r="K171" s="98"/>
      <c r="L171" s="98">
        <f>D171-K171</f>
        <v>264000</v>
      </c>
      <c r="M171" s="59">
        <f>K171*100/D171</f>
        <v>0</v>
      </c>
      <c r="N171" s="397" t="s">
        <v>8</v>
      </c>
    </row>
    <row r="172" spans="1:14" s="116" customFormat="1" ht="34.5" x14ac:dyDescent="0.2">
      <c r="A172" s="65"/>
      <c r="B172" s="668" t="s">
        <v>1021</v>
      </c>
      <c r="C172" s="98">
        <f>D172</f>
        <v>835000</v>
      </c>
      <c r="D172" s="98">
        <f>D173+D174+D175+D176+D177</f>
        <v>835000</v>
      </c>
      <c r="E172" s="59">
        <v>0</v>
      </c>
      <c r="F172" s="588" t="s">
        <v>1030</v>
      </c>
      <c r="G172" s="595"/>
      <c r="H172" s="588"/>
      <c r="I172" s="59"/>
      <c r="J172" s="669"/>
      <c r="K172" s="98">
        <f>K173+K174+K175+K176+K177</f>
        <v>0</v>
      </c>
      <c r="L172" s="98">
        <f>L173+L174+L175+L176+L177</f>
        <v>835000</v>
      </c>
      <c r="M172" s="59">
        <f>K172*100/D172</f>
        <v>0</v>
      </c>
      <c r="N172" s="397"/>
    </row>
    <row r="173" spans="1:14" s="703" customFormat="1" ht="21" x14ac:dyDescent="0.2">
      <c r="A173" s="693"/>
      <c r="B173" s="705" t="s">
        <v>1022</v>
      </c>
      <c r="C173" s="680">
        <f>D173+E173</f>
        <v>80000</v>
      </c>
      <c r="D173" s="680">
        <v>80000</v>
      </c>
      <c r="E173" s="684"/>
      <c r="F173" s="682"/>
      <c r="G173" s="706"/>
      <c r="H173" s="682"/>
      <c r="I173" s="684"/>
      <c r="J173" s="690"/>
      <c r="K173" s="680"/>
      <c r="L173" s="680">
        <f>D173-K173</f>
        <v>80000</v>
      </c>
      <c r="M173" s="684">
        <f>K173*100/D173</f>
        <v>0</v>
      </c>
      <c r="N173" s="765" t="s">
        <v>1027</v>
      </c>
    </row>
    <row r="174" spans="1:14" s="703" customFormat="1" ht="21" x14ac:dyDescent="0.2">
      <c r="A174" s="693"/>
      <c r="B174" s="705" t="s">
        <v>1023</v>
      </c>
      <c r="C174" s="680">
        <f t="shared" ref="C174:C177" si="81">D174+E174</f>
        <v>5000</v>
      </c>
      <c r="D174" s="680">
        <v>5000</v>
      </c>
      <c r="E174" s="684"/>
      <c r="F174" s="682"/>
      <c r="G174" s="706"/>
      <c r="H174" s="682"/>
      <c r="I174" s="684"/>
      <c r="J174" s="690"/>
      <c r="K174" s="680"/>
      <c r="L174" s="680">
        <f t="shared" ref="L174:L177" si="82">D174-K174</f>
        <v>5000</v>
      </c>
      <c r="M174" s="684">
        <f t="shared" ref="M174:M177" si="83">K174*100/D174</f>
        <v>0</v>
      </c>
      <c r="N174" s="766"/>
    </row>
    <row r="175" spans="1:14" s="703" customFormat="1" ht="21" x14ac:dyDescent="0.2">
      <c r="A175" s="693"/>
      <c r="B175" s="705" t="s">
        <v>1024</v>
      </c>
      <c r="C175" s="680">
        <f t="shared" si="81"/>
        <v>180000</v>
      </c>
      <c r="D175" s="680">
        <v>180000</v>
      </c>
      <c r="E175" s="684"/>
      <c r="F175" s="682"/>
      <c r="G175" s="706"/>
      <c r="H175" s="682"/>
      <c r="I175" s="684"/>
      <c r="J175" s="690"/>
      <c r="K175" s="680"/>
      <c r="L175" s="680">
        <f t="shared" si="82"/>
        <v>180000</v>
      </c>
      <c r="M175" s="684">
        <f t="shared" si="83"/>
        <v>0</v>
      </c>
      <c r="N175" s="767"/>
    </row>
    <row r="176" spans="1:14" s="703" customFormat="1" ht="21.75" customHeight="1" x14ac:dyDescent="0.2">
      <c r="A176" s="693"/>
      <c r="B176" s="705" t="s">
        <v>1025</v>
      </c>
      <c r="C176" s="680">
        <f t="shared" si="81"/>
        <v>350000</v>
      </c>
      <c r="D176" s="680">
        <v>350000</v>
      </c>
      <c r="E176" s="684"/>
      <c r="F176" s="754" t="s">
        <v>1031</v>
      </c>
      <c r="G176" s="706"/>
      <c r="H176" s="682"/>
      <c r="I176" s="684"/>
      <c r="J176" s="690"/>
      <c r="K176" s="680"/>
      <c r="L176" s="680">
        <f t="shared" si="82"/>
        <v>350000</v>
      </c>
      <c r="M176" s="684">
        <f t="shared" si="83"/>
        <v>0</v>
      </c>
      <c r="N176" s="768" t="s">
        <v>1028</v>
      </c>
    </row>
    <row r="177" spans="1:18" s="703" customFormat="1" ht="21" x14ac:dyDescent="0.2">
      <c r="A177" s="693"/>
      <c r="B177" s="705" t="s">
        <v>1026</v>
      </c>
      <c r="C177" s="680">
        <f t="shared" si="81"/>
        <v>220000</v>
      </c>
      <c r="D177" s="680">
        <v>220000</v>
      </c>
      <c r="E177" s="684"/>
      <c r="F177" s="755"/>
      <c r="G177" s="706"/>
      <c r="H177" s="682"/>
      <c r="I177" s="684"/>
      <c r="J177" s="690"/>
      <c r="K177" s="680"/>
      <c r="L177" s="680">
        <f t="shared" si="82"/>
        <v>220000</v>
      </c>
      <c r="M177" s="684">
        <f t="shared" si="83"/>
        <v>0</v>
      </c>
      <c r="N177" s="769"/>
    </row>
    <row r="178" spans="1:18" s="703" customFormat="1" ht="75" x14ac:dyDescent="0.2">
      <c r="A178" s="693"/>
      <c r="B178" s="708" t="s">
        <v>1029</v>
      </c>
      <c r="C178" s="698">
        <f>D178</f>
        <v>250000</v>
      </c>
      <c r="D178" s="698">
        <v>250000</v>
      </c>
      <c r="E178" s="699">
        <v>0</v>
      </c>
      <c r="F178" s="700" t="s">
        <v>1031</v>
      </c>
      <c r="G178" s="701"/>
      <c r="H178" s="700"/>
      <c r="I178" s="699"/>
      <c r="J178" s="709"/>
      <c r="K178" s="698"/>
      <c r="L178" s="698">
        <f>D178-K178</f>
        <v>250000</v>
      </c>
      <c r="M178" s="699">
        <f>K178*100/D178</f>
        <v>0</v>
      </c>
      <c r="N178" s="710" t="s">
        <v>1027</v>
      </c>
    </row>
    <row r="179" spans="1:18" ht="21" x14ac:dyDescent="0.35">
      <c r="A179" s="8"/>
      <c r="B179" s="40" t="s">
        <v>112</v>
      </c>
      <c r="C179" s="101">
        <f>C8+C115+C130+C140+C154+C155</f>
        <v>184788300</v>
      </c>
      <c r="D179" s="101">
        <f>D8+D115+D130+D140+D154+D155</f>
        <v>48854305.68</v>
      </c>
      <c r="E179" s="101">
        <f>E8+E115+E130+E140+E154+E155</f>
        <v>135933994.31999999</v>
      </c>
      <c r="F179" s="600"/>
      <c r="G179" s="601"/>
      <c r="H179" s="601"/>
      <c r="I179" s="101">
        <f>I8+I115+I130+I140+I154+I155</f>
        <v>134379858.69999999</v>
      </c>
      <c r="J179" s="101">
        <f t="shared" ref="J179:K179" si="84">J8+J115+J130+J140+J154+J155</f>
        <v>685649.39</v>
      </c>
      <c r="K179" s="101">
        <f t="shared" si="84"/>
        <v>167126403.14999998</v>
      </c>
      <c r="L179" s="101">
        <f>L8+L115+L130+L140+L154+L155</f>
        <v>16976247.460000001</v>
      </c>
      <c r="M179" s="102">
        <f>K179*100/C179</f>
        <v>90.442091382408947</v>
      </c>
      <c r="N179" s="40"/>
    </row>
    <row r="180" spans="1:18" ht="14.25" customHeight="1" x14ac:dyDescent="0.2"/>
    <row r="181" spans="1:18" ht="16.5" x14ac:dyDescent="0.35">
      <c r="K181" s="602"/>
    </row>
    <row r="182" spans="1:18" ht="15" x14ac:dyDescent="0.25">
      <c r="D182" s="318"/>
      <c r="L182" s="103"/>
    </row>
    <row r="183" spans="1:18" x14ac:dyDescent="0.2">
      <c r="R183" s="103"/>
    </row>
    <row r="184" spans="1:18" ht="21" x14ac:dyDescent="0.45">
      <c r="K184" s="609"/>
    </row>
    <row r="185" spans="1:18" x14ac:dyDescent="0.2">
      <c r="K185" s="103"/>
      <c r="Q185" s="103">
        <f>P6+R6</f>
        <v>0</v>
      </c>
    </row>
  </sheetData>
  <mergeCells count="47">
    <mergeCell ref="A136:B136"/>
    <mergeCell ref="A138:B138"/>
    <mergeCell ref="A130:B130"/>
    <mergeCell ref="A131:B131"/>
    <mergeCell ref="A140:B140"/>
    <mergeCell ref="A1:N1"/>
    <mergeCell ref="A2:N2"/>
    <mergeCell ref="A3:N3"/>
    <mergeCell ref="A5:A6"/>
    <mergeCell ref="B5:B6"/>
    <mergeCell ref="K5:M5"/>
    <mergeCell ref="C5:E5"/>
    <mergeCell ref="N5:N6"/>
    <mergeCell ref="F5:J5"/>
    <mergeCell ref="H4:N4"/>
    <mergeCell ref="A7:B7"/>
    <mergeCell ref="G66:G67"/>
    <mergeCell ref="N173:N175"/>
    <mergeCell ref="N176:N177"/>
    <mergeCell ref="A9:B9"/>
    <mergeCell ref="A40:B40"/>
    <mergeCell ref="A79:B79"/>
    <mergeCell ref="A96:B96"/>
    <mergeCell ref="A82:B82"/>
    <mergeCell ref="A10:B10"/>
    <mergeCell ref="A31:B31"/>
    <mergeCell ref="A34:B34"/>
    <mergeCell ref="A41:B41"/>
    <mergeCell ref="A58:B58"/>
    <mergeCell ref="A75:B75"/>
    <mergeCell ref="A142:B142"/>
    <mergeCell ref="F176:F177"/>
    <mergeCell ref="A80:B80"/>
    <mergeCell ref="A106:B106"/>
    <mergeCell ref="A109:B109"/>
    <mergeCell ref="A8:B8"/>
    <mergeCell ref="A132:B132"/>
    <mergeCell ref="A141:B141"/>
    <mergeCell ref="A127:B127"/>
    <mergeCell ref="A97:B97"/>
    <mergeCell ref="A103:B103"/>
    <mergeCell ref="A107:B107"/>
    <mergeCell ref="A110:B110"/>
    <mergeCell ref="A113:B113"/>
    <mergeCell ref="A117:B117"/>
    <mergeCell ref="A115:B115"/>
    <mergeCell ref="A116:B116"/>
  </mergeCells>
  <pageMargins left="0.19685039370078741" right="0" top="0.19685039370078741" bottom="0" header="0.19685039370078741" footer="0.11811023622047245"/>
  <pageSetup paperSize="9" scale="6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7E03"/>
  </sheetPr>
  <dimension ref="A1:K23"/>
  <sheetViews>
    <sheetView workbookViewId="0">
      <selection activeCell="L8" sqref="L8"/>
    </sheetView>
  </sheetViews>
  <sheetFormatPr defaultRowHeight="14.25" x14ac:dyDescent="0.2"/>
  <cols>
    <col min="1" max="1" width="3.625" style="1" customWidth="1"/>
    <col min="2" max="2" width="32.75" style="1" customWidth="1"/>
    <col min="3" max="3" width="10.375" style="1" customWidth="1"/>
    <col min="4" max="4" width="10.625" style="1" customWidth="1"/>
    <col min="5" max="5" width="10.75" style="1" customWidth="1"/>
    <col min="6" max="6" width="10.625" style="1" customWidth="1"/>
    <col min="7" max="7" width="13.25" style="1" customWidth="1"/>
    <col min="8" max="8" width="10.5" style="1" customWidth="1"/>
    <col min="9" max="9" width="7.875" style="1" customWidth="1"/>
    <col min="10" max="10" width="11.625" style="1" customWidth="1"/>
    <col min="11" max="11" width="17.75" style="1" customWidth="1"/>
    <col min="12" max="16384" width="9" style="1"/>
  </cols>
  <sheetData>
    <row r="1" spans="1:11" ht="21" x14ac:dyDescent="0.3">
      <c r="A1" s="818" t="s">
        <v>354</v>
      </c>
      <c r="B1" s="818"/>
      <c r="C1" s="818"/>
      <c r="D1" s="818"/>
      <c r="E1" s="818"/>
      <c r="F1" s="818"/>
      <c r="G1" s="818"/>
      <c r="H1" s="818"/>
      <c r="I1" s="818"/>
      <c r="J1" s="818"/>
      <c r="K1" s="126"/>
    </row>
    <row r="2" spans="1:11" ht="21" x14ac:dyDescent="0.3">
      <c r="A2" s="819" t="s">
        <v>355</v>
      </c>
      <c r="B2" s="819"/>
      <c r="C2" s="819"/>
      <c r="D2" s="819"/>
      <c r="E2" s="819"/>
      <c r="F2" s="819"/>
      <c r="G2" s="819"/>
      <c r="H2" s="819"/>
      <c r="I2" s="819"/>
      <c r="J2" s="819"/>
      <c r="K2" s="126"/>
    </row>
    <row r="3" spans="1:11" ht="21" x14ac:dyDescent="0.3">
      <c r="A3" s="818" t="s">
        <v>740</v>
      </c>
      <c r="B3" s="818"/>
      <c r="C3" s="818"/>
      <c r="D3" s="818"/>
      <c r="E3" s="818"/>
      <c r="F3" s="818"/>
      <c r="G3" s="818"/>
      <c r="H3" s="818"/>
      <c r="I3" s="818"/>
      <c r="J3" s="818"/>
      <c r="K3" s="126"/>
    </row>
    <row r="4" spans="1:11" ht="21" x14ac:dyDescent="0.35">
      <c r="A4" s="127"/>
      <c r="B4" s="127"/>
      <c r="C4" s="127"/>
      <c r="D4" s="820"/>
      <c r="E4" s="820"/>
      <c r="F4" s="820"/>
      <c r="G4" s="820"/>
      <c r="H4" s="820"/>
      <c r="I4" s="820"/>
      <c r="J4" s="820"/>
      <c r="K4" s="126"/>
    </row>
    <row r="5" spans="1:11" ht="24" customHeight="1" x14ac:dyDescent="0.3">
      <c r="A5" s="814" t="s">
        <v>76</v>
      </c>
      <c r="B5" s="814" t="s">
        <v>357</v>
      </c>
      <c r="C5" s="816" t="s">
        <v>358</v>
      </c>
      <c r="D5" s="823" t="s">
        <v>71</v>
      </c>
      <c r="E5" s="823" t="s">
        <v>371</v>
      </c>
      <c r="F5" s="823" t="s">
        <v>185</v>
      </c>
      <c r="G5" s="811" t="s">
        <v>376</v>
      </c>
      <c r="H5" s="812"/>
      <c r="I5" s="813"/>
      <c r="J5" s="823" t="s">
        <v>359</v>
      </c>
      <c r="K5" s="126"/>
    </row>
    <row r="6" spans="1:11" ht="42" customHeight="1" x14ac:dyDescent="0.3">
      <c r="A6" s="815"/>
      <c r="B6" s="815"/>
      <c r="C6" s="817"/>
      <c r="D6" s="824"/>
      <c r="E6" s="824"/>
      <c r="F6" s="824"/>
      <c r="G6" s="128" t="s">
        <v>375</v>
      </c>
      <c r="H6" s="128" t="s">
        <v>284</v>
      </c>
      <c r="I6" s="128" t="s">
        <v>74</v>
      </c>
      <c r="J6" s="824"/>
      <c r="K6" s="126"/>
    </row>
    <row r="7" spans="1:11" ht="65.25" customHeight="1" x14ac:dyDescent="0.3">
      <c r="A7" s="821">
        <v>1</v>
      </c>
      <c r="B7" s="129" t="s">
        <v>360</v>
      </c>
      <c r="C7" s="130">
        <f>1500000+22600</f>
        <v>1522600</v>
      </c>
      <c r="D7" s="141"/>
      <c r="E7" s="141"/>
      <c r="F7" s="131"/>
      <c r="G7" s="143">
        <f>SUM(G8:G13)</f>
        <v>1501738.41</v>
      </c>
      <c r="H7" s="143">
        <f>SUM(H8:H13)</f>
        <v>20861.590000000026</v>
      </c>
      <c r="I7" s="143">
        <v>100</v>
      </c>
      <c r="J7" s="132"/>
      <c r="K7" s="126"/>
    </row>
    <row r="8" spans="1:11" ht="66" customHeight="1" x14ac:dyDescent="0.3">
      <c r="A8" s="822"/>
      <c r="B8" s="133" t="s">
        <v>741</v>
      </c>
      <c r="C8" s="134">
        <v>300000</v>
      </c>
      <c r="D8" s="142" t="s">
        <v>938</v>
      </c>
      <c r="E8" s="142" t="s">
        <v>937</v>
      </c>
      <c r="F8" s="134">
        <v>298000</v>
      </c>
      <c r="G8" s="134">
        <v>298000</v>
      </c>
      <c r="H8" s="134">
        <f>C8-F8</f>
        <v>2000</v>
      </c>
      <c r="I8" s="223">
        <v>100</v>
      </c>
      <c r="J8" s="140" t="s">
        <v>744</v>
      </c>
      <c r="K8" s="126"/>
    </row>
    <row r="9" spans="1:11" ht="63" x14ac:dyDescent="0.3">
      <c r="A9" s="135"/>
      <c r="B9" s="133" t="s">
        <v>958</v>
      </c>
      <c r="C9" s="134">
        <v>196600</v>
      </c>
      <c r="D9" s="142" t="s">
        <v>745</v>
      </c>
      <c r="E9" s="142" t="s">
        <v>746</v>
      </c>
      <c r="F9" s="134">
        <v>195000</v>
      </c>
      <c r="G9" s="224">
        <v>195000</v>
      </c>
      <c r="H9" s="134">
        <f>C9-G9</f>
        <v>1600</v>
      </c>
      <c r="I9" s="223">
        <v>100</v>
      </c>
      <c r="J9" s="140" t="s">
        <v>367</v>
      </c>
      <c r="K9" s="126"/>
    </row>
    <row r="10" spans="1:11" ht="52.5" customHeight="1" x14ac:dyDescent="0.3">
      <c r="A10" s="135"/>
      <c r="B10" s="133" t="s">
        <v>742</v>
      </c>
      <c r="C10" s="134">
        <v>346000</v>
      </c>
      <c r="D10" s="142" t="s">
        <v>939</v>
      </c>
      <c r="E10" s="142" t="s">
        <v>940</v>
      </c>
      <c r="F10" s="134">
        <v>346000</v>
      </c>
      <c r="G10" s="224">
        <v>346000</v>
      </c>
      <c r="H10" s="134">
        <v>0</v>
      </c>
      <c r="I10" s="223">
        <f>G10*100/C10</f>
        <v>100</v>
      </c>
      <c r="J10" s="140" t="s">
        <v>362</v>
      </c>
      <c r="K10" s="126"/>
    </row>
    <row r="11" spans="1:11" ht="51" customHeight="1" x14ac:dyDescent="0.3">
      <c r="A11" s="135"/>
      <c r="B11" s="133" t="s">
        <v>743</v>
      </c>
      <c r="C11" s="134">
        <v>200000</v>
      </c>
      <c r="D11" s="151" t="s">
        <v>944</v>
      </c>
      <c r="E11" s="142" t="s">
        <v>943</v>
      </c>
      <c r="F11" s="134">
        <v>200000</v>
      </c>
      <c r="G11" s="134">
        <v>200000</v>
      </c>
      <c r="H11" s="134">
        <v>0</v>
      </c>
      <c r="I11" s="219">
        <f t="shared" ref="I11" si="0">G11*100/C11</f>
        <v>100</v>
      </c>
      <c r="J11" s="140" t="s">
        <v>369</v>
      </c>
      <c r="K11" s="126"/>
    </row>
    <row r="12" spans="1:11" ht="63" customHeight="1" x14ac:dyDescent="0.3">
      <c r="A12" s="135"/>
      <c r="B12" s="133" t="s">
        <v>957</v>
      </c>
      <c r="C12" s="134">
        <v>300000</v>
      </c>
      <c r="D12" s="142" t="s">
        <v>946</v>
      </c>
      <c r="E12" s="142" t="s">
        <v>945</v>
      </c>
      <c r="F12" s="643">
        <v>287000</v>
      </c>
      <c r="G12" s="219">
        <v>282738.40999999997</v>
      </c>
      <c r="H12" s="219">
        <f>C12-F12+K12</f>
        <v>17261.590000000026</v>
      </c>
      <c r="I12" s="219">
        <v>100</v>
      </c>
      <c r="J12" s="140" t="s">
        <v>364</v>
      </c>
      <c r="K12" s="620">
        <f>F12-G12</f>
        <v>4261.5900000000256</v>
      </c>
    </row>
    <row r="13" spans="1:11" ht="63" customHeight="1" x14ac:dyDescent="0.3">
      <c r="A13" s="135"/>
      <c r="B13" s="133" t="s">
        <v>841</v>
      </c>
      <c r="C13" s="134">
        <v>180000</v>
      </c>
      <c r="D13" s="142" t="s">
        <v>842</v>
      </c>
      <c r="E13" s="142" t="s">
        <v>843</v>
      </c>
      <c r="F13" s="134">
        <v>180000</v>
      </c>
      <c r="G13" s="134">
        <v>180000</v>
      </c>
      <c r="H13" s="134">
        <f>C13-G13</f>
        <v>0</v>
      </c>
      <c r="I13" s="219">
        <f>G13*100/C13</f>
        <v>100</v>
      </c>
      <c r="J13" s="140" t="s">
        <v>365</v>
      </c>
      <c r="K13" s="136"/>
    </row>
    <row r="14" spans="1:11" ht="21" x14ac:dyDescent="0.35">
      <c r="A14" s="809" t="s">
        <v>112</v>
      </c>
      <c r="B14" s="810"/>
      <c r="C14" s="137">
        <f>C8+C9+C10+C11+C12+C13</f>
        <v>1522600</v>
      </c>
      <c r="D14" s="137"/>
      <c r="E14" s="137"/>
      <c r="F14" s="137">
        <f>F8+F9+F10+F11+F12+F13</f>
        <v>1506000</v>
      </c>
      <c r="G14" s="145">
        <f t="shared" ref="G14" si="1">G8+G9+G10+G11+G12+G13</f>
        <v>1501738.41</v>
      </c>
      <c r="H14" s="137">
        <v>17448</v>
      </c>
      <c r="I14" s="145">
        <v>100</v>
      </c>
      <c r="J14" s="138"/>
      <c r="K14" s="126"/>
    </row>
    <row r="15" spans="1:11" ht="18.75" x14ac:dyDescent="0.3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26"/>
    </row>
    <row r="23" spans="7:7" x14ac:dyDescent="0.2">
      <c r="G23" s="139"/>
    </row>
  </sheetData>
  <mergeCells count="14">
    <mergeCell ref="G5:I5"/>
    <mergeCell ref="J5:J6"/>
    <mergeCell ref="A7:A8"/>
    <mergeCell ref="A14:B14"/>
    <mergeCell ref="A1:J1"/>
    <mergeCell ref="A2:J2"/>
    <mergeCell ref="A3:J3"/>
    <mergeCell ref="D4:J4"/>
    <mergeCell ref="A5:A6"/>
    <mergeCell ref="B5:B6"/>
    <mergeCell ref="C5:C6"/>
    <mergeCell ref="D5:D6"/>
    <mergeCell ref="E5:E6"/>
    <mergeCell ref="F5:F6"/>
  </mergeCells>
  <pageMargins left="0.19685039370078741" right="0.19685039370078741" top="0.31496062992125984" bottom="0.31496062992125984" header="0.31496062992125984" footer="0.31496062992125984"/>
  <pageSetup paperSize="9" scale="7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S210"/>
  <sheetViews>
    <sheetView view="pageBreakPreview" topLeftCell="C1" zoomScale="70" zoomScaleNormal="75" zoomScaleSheetLayoutView="70" workbookViewId="0">
      <selection activeCell="Q11" sqref="Q11"/>
    </sheetView>
  </sheetViews>
  <sheetFormatPr defaultColWidth="9" defaultRowHeight="21" x14ac:dyDescent="0.2"/>
  <cols>
    <col min="1" max="1" width="1.625" style="469" customWidth="1"/>
    <col min="2" max="3" width="1.75" style="469" customWidth="1"/>
    <col min="4" max="4" width="41.5" style="469" customWidth="1"/>
    <col min="5" max="5" width="12.75" style="514" customWidth="1"/>
    <col min="6" max="6" width="12.625" style="514" customWidth="1"/>
    <col min="7" max="7" width="12.875" style="514" customWidth="1"/>
    <col min="8" max="8" width="11.25" style="473" customWidth="1"/>
    <col min="9" max="9" width="12.75" style="473" customWidth="1"/>
    <col min="10" max="10" width="13.125" style="473" customWidth="1"/>
    <col min="11" max="11" width="15.375" style="524" customWidth="1"/>
    <col min="12" max="12" width="14.375" style="524" customWidth="1"/>
    <col min="13" max="13" width="15.375" style="524" customWidth="1"/>
    <col min="14" max="14" width="16.25" style="524" customWidth="1"/>
    <col min="15" max="15" width="8" style="524" customWidth="1"/>
    <col min="16" max="16" width="15.5" style="410" customWidth="1"/>
    <col min="17" max="17" width="14.5" style="409" customWidth="1"/>
    <col min="18" max="18" width="16.75" style="409" customWidth="1"/>
    <col min="19" max="16384" width="9" style="409"/>
  </cols>
  <sheetData>
    <row r="1" spans="1:19" s="468" customFormat="1" ht="23.25" x14ac:dyDescent="0.2">
      <c r="A1" s="930" t="s">
        <v>751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467"/>
    </row>
    <row r="2" spans="1:19" s="468" customFormat="1" ht="23.25" x14ac:dyDescent="0.2">
      <c r="A2" s="930" t="s">
        <v>394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467"/>
    </row>
    <row r="3" spans="1:19" ht="18.75" x14ac:dyDescent="0.2">
      <c r="A3" s="931" t="s">
        <v>877</v>
      </c>
      <c r="B3" s="931"/>
      <c r="C3" s="931"/>
      <c r="D3" s="931"/>
      <c r="E3" s="932" t="s">
        <v>1051</v>
      </c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580"/>
    </row>
    <row r="4" spans="1:19" s="469" customFormat="1" ht="45" customHeight="1" x14ac:dyDescent="0.2">
      <c r="A4" s="933" t="s">
        <v>77</v>
      </c>
      <c r="B4" s="933"/>
      <c r="C4" s="933"/>
      <c r="D4" s="933"/>
      <c r="E4" s="935" t="s">
        <v>358</v>
      </c>
      <c r="F4" s="935"/>
      <c r="G4" s="935"/>
      <c r="H4" s="935" t="s">
        <v>186</v>
      </c>
      <c r="I4" s="935"/>
      <c r="J4" s="935"/>
      <c r="K4" s="935"/>
      <c r="L4" s="935"/>
      <c r="M4" s="935" t="s">
        <v>376</v>
      </c>
      <c r="N4" s="935"/>
      <c r="O4" s="935"/>
      <c r="P4" s="934" t="s">
        <v>395</v>
      </c>
    </row>
    <row r="5" spans="1:19" s="469" customFormat="1" ht="42" customHeight="1" x14ac:dyDescent="0.2">
      <c r="A5" s="933"/>
      <c r="B5" s="933"/>
      <c r="C5" s="933"/>
      <c r="D5" s="933"/>
      <c r="E5" s="153" t="s">
        <v>112</v>
      </c>
      <c r="F5" s="153" t="s">
        <v>81</v>
      </c>
      <c r="G5" s="153" t="s">
        <v>80</v>
      </c>
      <c r="H5" s="153" t="s">
        <v>190</v>
      </c>
      <c r="I5" s="153" t="s">
        <v>71</v>
      </c>
      <c r="J5" s="153" t="s">
        <v>824</v>
      </c>
      <c r="K5" s="515" t="s">
        <v>185</v>
      </c>
      <c r="L5" s="515" t="s">
        <v>981</v>
      </c>
      <c r="M5" s="515" t="s">
        <v>505</v>
      </c>
      <c r="N5" s="515" t="s">
        <v>73</v>
      </c>
      <c r="O5" s="515" t="s">
        <v>74</v>
      </c>
      <c r="P5" s="934"/>
      <c r="Q5" s="581">
        <f>L6+M6+N6</f>
        <v>821065100</v>
      </c>
    </row>
    <row r="6" spans="1:19" x14ac:dyDescent="0.2">
      <c r="A6" s="928" t="s">
        <v>396</v>
      </c>
      <c r="B6" s="928"/>
      <c r="C6" s="928"/>
      <c r="D6" s="928"/>
      <c r="E6" s="470">
        <f>F6+G6</f>
        <v>821063100</v>
      </c>
      <c r="F6" s="470">
        <f t="shared" ref="F6:G6" si="0">F210</f>
        <v>159319400</v>
      </c>
      <c r="G6" s="470">
        <f t="shared" si="0"/>
        <v>661743700</v>
      </c>
      <c r="H6" s="471"/>
      <c r="I6" s="471"/>
      <c r="J6" s="471"/>
      <c r="K6" s="472">
        <f t="shared" ref="K6:N6" si="1">K210</f>
        <v>589200249.73000002</v>
      </c>
      <c r="L6" s="472">
        <f t="shared" si="1"/>
        <v>56630627.269999996</v>
      </c>
      <c r="M6" s="472">
        <f t="shared" si="1"/>
        <v>190106719.65000001</v>
      </c>
      <c r="N6" s="472">
        <f t="shared" si="1"/>
        <v>574327753.08000004</v>
      </c>
      <c r="O6" s="472">
        <f>M6*100/E6</f>
        <v>23.153728337079087</v>
      </c>
      <c r="P6" s="214"/>
      <c r="Q6" s="473">
        <f>Q20+Q34+Q37+Q59+Q72+Q73+Q89+Q90+Q128+Q129+Q195+Q198</f>
        <v>28406000</v>
      </c>
    </row>
    <row r="7" spans="1:19" s="663" customFormat="1" ht="43.5" customHeight="1" x14ac:dyDescent="0.2">
      <c r="A7" s="936" t="s">
        <v>878</v>
      </c>
      <c r="B7" s="936"/>
      <c r="C7" s="936"/>
      <c r="D7" s="936"/>
      <c r="E7" s="658">
        <f>E8+E29+E64+E69+E77+E84+E124</f>
        <v>472650500</v>
      </c>
      <c r="F7" s="658">
        <f>F8+F29+F64+F69+F77+F84+F124</f>
        <v>111819400</v>
      </c>
      <c r="G7" s="658">
        <f>G8+G29+G64+G69+G77+G84+G124</f>
        <v>360831100</v>
      </c>
      <c r="H7" s="659"/>
      <c r="I7" s="659"/>
      <c r="J7" s="659"/>
      <c r="K7" s="660">
        <f>K8+K29+K64+K69+K77+K84+K124</f>
        <v>298352102.20000005</v>
      </c>
      <c r="L7" s="660">
        <f>L8+L29+L64+L69+L77+L84+L124</f>
        <v>46566174.799999997</v>
      </c>
      <c r="M7" s="660">
        <f>M8+M29+M64+M69+M77+M84+M124</f>
        <v>119619280.65000001</v>
      </c>
      <c r="N7" s="660">
        <f>N8+N29+N64+N69+N77+N84+N124</f>
        <v>306467044.55000001</v>
      </c>
      <c r="O7" s="660">
        <f>M7*100/E7</f>
        <v>25.308188746230037</v>
      </c>
      <c r="P7" s="661"/>
      <c r="Q7" s="662">
        <f>Q5+Q6</f>
        <v>849471100</v>
      </c>
      <c r="R7" s="663" t="s">
        <v>942</v>
      </c>
    </row>
    <row r="8" spans="1:19" ht="46.5" customHeight="1" x14ac:dyDescent="0.2">
      <c r="A8" s="937" t="s">
        <v>752</v>
      </c>
      <c r="B8" s="937"/>
      <c r="C8" s="937"/>
      <c r="D8" s="937"/>
      <c r="E8" s="483">
        <f>E9+E24</f>
        <v>224333000</v>
      </c>
      <c r="F8" s="483">
        <f t="shared" ref="F8:G8" si="2">F9+F24</f>
        <v>0</v>
      </c>
      <c r="G8" s="483">
        <f t="shared" si="2"/>
        <v>224333000</v>
      </c>
      <c r="H8" s="484"/>
      <c r="I8" s="484"/>
      <c r="J8" s="484"/>
      <c r="K8" s="485">
        <f t="shared" ref="K8" si="3">K9+K24</f>
        <v>191623607.15000001</v>
      </c>
      <c r="L8" s="485">
        <f t="shared" ref="L8" si="4">L9+L24</f>
        <v>16685739.850000001</v>
      </c>
      <c r="M8" s="485">
        <f t="shared" ref="M8:N8" si="5">M9+M24</f>
        <v>73472100.730000004</v>
      </c>
      <c r="N8" s="485">
        <f t="shared" si="5"/>
        <v>134175159.42</v>
      </c>
      <c r="O8" s="485">
        <f>M8*100/E8</f>
        <v>32.751356568137545</v>
      </c>
      <c r="P8" s="209"/>
      <c r="Q8" s="580"/>
      <c r="R8" s="473"/>
      <c r="S8" s="473"/>
    </row>
    <row r="9" spans="1:19" s="474" customFormat="1" ht="25.5" customHeight="1" x14ac:dyDescent="0.2">
      <c r="A9" s="922" t="s">
        <v>753</v>
      </c>
      <c r="B9" s="922"/>
      <c r="C9" s="922"/>
      <c r="D9" s="922"/>
      <c r="E9" s="478">
        <f>SUM(E10:E23)</f>
        <v>121936000</v>
      </c>
      <c r="F9" s="478">
        <f t="shared" ref="F9:G9" si="6">SUM(F10:F23)</f>
        <v>0</v>
      </c>
      <c r="G9" s="478">
        <f t="shared" si="6"/>
        <v>121936000</v>
      </c>
      <c r="H9" s="480"/>
      <c r="I9" s="480"/>
      <c r="J9" s="480"/>
      <c r="K9" s="479">
        <f t="shared" ref="K9" si="7">SUM(K10:K23)</f>
        <v>91092607.150000006</v>
      </c>
      <c r="L9" s="479">
        <f t="shared" ref="L9" si="8">SUM(L10:L23)</f>
        <v>14819739.850000001</v>
      </c>
      <c r="M9" s="479">
        <f t="shared" ref="M9:N9" si="9">SUM(M10:M23)</f>
        <v>36264574.530000001</v>
      </c>
      <c r="N9" s="479">
        <f t="shared" si="9"/>
        <v>70851685.620000005</v>
      </c>
      <c r="O9" s="479">
        <f>M9*100/E9</f>
        <v>29.740662749311113</v>
      </c>
      <c r="P9" s="408"/>
    </row>
    <row r="10" spans="1:19" ht="48" customHeight="1" x14ac:dyDescent="0.2">
      <c r="A10" s="912" t="s">
        <v>828</v>
      </c>
      <c r="B10" s="912"/>
      <c r="C10" s="912"/>
      <c r="D10" s="912"/>
      <c r="E10" s="364">
        <v>10000000</v>
      </c>
      <c r="F10" s="481"/>
      <c r="G10" s="364">
        <v>10000000</v>
      </c>
      <c r="H10" s="365" t="s">
        <v>860</v>
      </c>
      <c r="I10" s="365" t="s">
        <v>195</v>
      </c>
      <c r="J10" s="342" t="s">
        <v>868</v>
      </c>
      <c r="K10" s="475">
        <v>6290000</v>
      </c>
      <c r="L10" s="516">
        <f>G10-K10</f>
        <v>3710000</v>
      </c>
      <c r="M10" s="516"/>
      <c r="N10" s="516">
        <f>E10-M10-L10</f>
        <v>6290000</v>
      </c>
      <c r="O10" s="516">
        <f>M10*100/E10</f>
        <v>0</v>
      </c>
      <c r="P10" s="208" t="s">
        <v>29</v>
      </c>
      <c r="Q10" s="473"/>
    </row>
    <row r="11" spans="1:19" ht="42.75" customHeight="1" x14ac:dyDescent="0.2">
      <c r="A11" s="912" t="s">
        <v>829</v>
      </c>
      <c r="B11" s="912"/>
      <c r="C11" s="912"/>
      <c r="D11" s="912"/>
      <c r="E11" s="364">
        <v>10000000</v>
      </c>
      <c r="F11" s="364"/>
      <c r="G11" s="364">
        <v>10000000</v>
      </c>
      <c r="H11" s="365" t="s">
        <v>860</v>
      </c>
      <c r="I11" s="365" t="s">
        <v>867</v>
      </c>
      <c r="J11" s="342" t="s">
        <v>868</v>
      </c>
      <c r="K11" s="475">
        <v>5659696.5999999996</v>
      </c>
      <c r="L11" s="516">
        <f t="shared" ref="L11:L23" si="10">G11-K11</f>
        <v>4340303.4000000004</v>
      </c>
      <c r="M11" s="475"/>
      <c r="N11" s="516">
        <f t="shared" ref="N11:N23" si="11">E11-M11-L11</f>
        <v>5659696.5999999996</v>
      </c>
      <c r="O11" s="516">
        <f t="shared" ref="O11:O17" si="12">M11*100/E11</f>
        <v>0</v>
      </c>
      <c r="P11" s="208" t="s">
        <v>29</v>
      </c>
    </row>
    <row r="12" spans="1:19" ht="45" customHeight="1" x14ac:dyDescent="0.2">
      <c r="A12" s="912" t="s">
        <v>830</v>
      </c>
      <c r="B12" s="912"/>
      <c r="C12" s="912"/>
      <c r="D12" s="912"/>
      <c r="E12" s="364">
        <v>10000000</v>
      </c>
      <c r="F12" s="364"/>
      <c r="G12" s="364">
        <v>10000000</v>
      </c>
      <c r="H12" s="365" t="s">
        <v>860</v>
      </c>
      <c r="I12" s="365" t="s">
        <v>867</v>
      </c>
      <c r="J12" s="342" t="s">
        <v>868</v>
      </c>
      <c r="K12" s="475">
        <v>5669758.5499999998</v>
      </c>
      <c r="L12" s="516">
        <f t="shared" si="10"/>
        <v>4330241.45</v>
      </c>
      <c r="M12" s="475"/>
      <c r="N12" s="516">
        <f t="shared" si="11"/>
        <v>5669758.5499999998</v>
      </c>
      <c r="O12" s="516">
        <f t="shared" si="12"/>
        <v>0</v>
      </c>
      <c r="P12" s="208" t="s">
        <v>29</v>
      </c>
    </row>
    <row r="13" spans="1:19" ht="44.25" customHeight="1" x14ac:dyDescent="0.2">
      <c r="A13" s="912" t="s">
        <v>754</v>
      </c>
      <c r="B13" s="912"/>
      <c r="C13" s="912"/>
      <c r="D13" s="912"/>
      <c r="E13" s="364">
        <v>10000000</v>
      </c>
      <c r="F13" s="364"/>
      <c r="G13" s="364">
        <v>10000000</v>
      </c>
      <c r="H13" s="365" t="s">
        <v>860</v>
      </c>
      <c r="I13" s="365" t="s">
        <v>678</v>
      </c>
      <c r="J13" s="342" t="s">
        <v>679</v>
      </c>
      <c r="K13" s="475">
        <v>9745000</v>
      </c>
      <c r="L13" s="516">
        <f t="shared" si="10"/>
        <v>255000</v>
      </c>
      <c r="M13" s="475">
        <v>8313224.7800000003</v>
      </c>
      <c r="N13" s="516">
        <f t="shared" si="11"/>
        <v>1431775.2199999997</v>
      </c>
      <c r="O13" s="516">
        <f t="shared" si="12"/>
        <v>83.132247800000002</v>
      </c>
      <c r="P13" s="208" t="s">
        <v>29</v>
      </c>
    </row>
    <row r="14" spans="1:19" ht="43.5" customHeight="1" x14ac:dyDescent="0.2">
      <c r="A14" s="912" t="s">
        <v>907</v>
      </c>
      <c r="B14" s="912"/>
      <c r="C14" s="912"/>
      <c r="D14" s="912"/>
      <c r="E14" s="364">
        <v>10000000</v>
      </c>
      <c r="F14" s="364"/>
      <c r="G14" s="364">
        <v>10000000</v>
      </c>
      <c r="H14" s="365" t="s">
        <v>860</v>
      </c>
      <c r="I14" s="365" t="s">
        <v>678</v>
      </c>
      <c r="J14" s="342" t="s">
        <v>679</v>
      </c>
      <c r="K14" s="475">
        <v>9690000</v>
      </c>
      <c r="L14" s="516">
        <f t="shared" si="10"/>
        <v>310000</v>
      </c>
      <c r="M14" s="475">
        <v>5206544.95</v>
      </c>
      <c r="N14" s="516">
        <f t="shared" si="11"/>
        <v>4483455.05</v>
      </c>
      <c r="O14" s="516">
        <f t="shared" si="12"/>
        <v>52.0654495</v>
      </c>
      <c r="P14" s="208" t="s">
        <v>29</v>
      </c>
    </row>
    <row r="15" spans="1:19" ht="42" customHeight="1" x14ac:dyDescent="0.2">
      <c r="A15" s="912" t="s">
        <v>831</v>
      </c>
      <c r="B15" s="912"/>
      <c r="C15" s="912"/>
      <c r="D15" s="912"/>
      <c r="E15" s="364">
        <v>10000000</v>
      </c>
      <c r="F15" s="364"/>
      <c r="G15" s="364">
        <v>10000000</v>
      </c>
      <c r="H15" s="365" t="s">
        <v>860</v>
      </c>
      <c r="I15" s="365" t="s">
        <v>678</v>
      </c>
      <c r="J15" s="342" t="s">
        <v>679</v>
      </c>
      <c r="K15" s="475">
        <v>9676000</v>
      </c>
      <c r="L15" s="516">
        <f t="shared" si="10"/>
        <v>324000</v>
      </c>
      <c r="M15" s="475"/>
      <c r="N15" s="516">
        <f t="shared" si="11"/>
        <v>9676000</v>
      </c>
      <c r="O15" s="516">
        <f t="shared" si="12"/>
        <v>0</v>
      </c>
      <c r="P15" s="208" t="s">
        <v>29</v>
      </c>
    </row>
    <row r="16" spans="1:19" ht="45.75" customHeight="1" x14ac:dyDescent="0.2">
      <c r="A16" s="912" t="s">
        <v>908</v>
      </c>
      <c r="B16" s="912"/>
      <c r="C16" s="912"/>
      <c r="D16" s="912"/>
      <c r="E16" s="364">
        <v>10000000</v>
      </c>
      <c r="F16" s="364"/>
      <c r="G16" s="364">
        <v>10000000</v>
      </c>
      <c r="H16" s="365" t="s">
        <v>860</v>
      </c>
      <c r="I16" s="365" t="s">
        <v>869</v>
      </c>
      <c r="J16" s="342" t="s">
        <v>870</v>
      </c>
      <c r="K16" s="475">
        <v>9725000</v>
      </c>
      <c r="L16" s="516">
        <f t="shared" si="10"/>
        <v>275000</v>
      </c>
      <c r="M16" s="475"/>
      <c r="N16" s="516">
        <f t="shared" si="11"/>
        <v>9725000</v>
      </c>
      <c r="O16" s="516">
        <f t="shared" si="12"/>
        <v>0</v>
      </c>
      <c r="P16" s="208" t="s">
        <v>29</v>
      </c>
    </row>
    <row r="17" spans="1:17" ht="43.5" customHeight="1" x14ac:dyDescent="0.2">
      <c r="A17" s="912" t="s">
        <v>882</v>
      </c>
      <c r="B17" s="912"/>
      <c r="C17" s="912"/>
      <c r="D17" s="912"/>
      <c r="E17" s="364">
        <v>35000000</v>
      </c>
      <c r="F17" s="364"/>
      <c r="G17" s="364">
        <v>35000000</v>
      </c>
      <c r="H17" s="751" t="s">
        <v>1043</v>
      </c>
      <c r="I17" s="365" t="s">
        <v>690</v>
      </c>
      <c r="J17" s="342" t="s">
        <v>735</v>
      </c>
      <c r="K17" s="475">
        <v>18976347</v>
      </c>
      <c r="L17" s="516">
        <v>0</v>
      </c>
      <c r="M17" s="475">
        <f>410896+43920+97902+98604+93330.92+14088.69+23200+6172.08+1112.8+2540.18+23540+401622+836.85+18650+30110+7897+7720.05+136640+486158.02+7423.66+401679+2606667.83+374681+134200+3000.28+97033.44+21600+30000+26400+17740+397123+107970+2943783.76+4596.19+12500+396686+358027</f>
        <v>9846051.75</v>
      </c>
      <c r="N17" s="516">
        <f>E17-M17-L17</f>
        <v>25153948.25</v>
      </c>
      <c r="O17" s="516">
        <f t="shared" si="12"/>
        <v>28.131576428571428</v>
      </c>
      <c r="P17" s="208" t="s">
        <v>29</v>
      </c>
      <c r="Q17" s="409">
        <v>16023653</v>
      </c>
    </row>
    <row r="18" spans="1:17" s="729" customFormat="1" ht="45.75" customHeight="1" x14ac:dyDescent="0.2">
      <c r="A18" s="917" t="s">
        <v>884</v>
      </c>
      <c r="B18" s="917"/>
      <c r="C18" s="917"/>
      <c r="D18" s="917"/>
      <c r="E18" s="723">
        <v>5000000</v>
      </c>
      <c r="F18" s="723"/>
      <c r="G18" s="723">
        <v>5000000</v>
      </c>
      <c r="H18" s="724" t="s">
        <v>353</v>
      </c>
      <c r="I18" s="724" t="s">
        <v>690</v>
      </c>
      <c r="J18" s="725" t="s">
        <v>626</v>
      </c>
      <c r="K18" s="726">
        <v>4982000</v>
      </c>
      <c r="L18" s="727">
        <f t="shared" si="10"/>
        <v>18000</v>
      </c>
      <c r="M18" s="726">
        <v>4832643</v>
      </c>
      <c r="N18" s="727">
        <f t="shared" si="11"/>
        <v>149357</v>
      </c>
      <c r="O18" s="727">
        <v>100</v>
      </c>
      <c r="P18" s="728" t="s">
        <v>29</v>
      </c>
    </row>
    <row r="19" spans="1:17" s="729" customFormat="1" ht="44.25" customHeight="1" x14ac:dyDescent="0.2">
      <c r="A19" s="917" t="s">
        <v>883</v>
      </c>
      <c r="B19" s="917"/>
      <c r="C19" s="917"/>
      <c r="D19" s="917"/>
      <c r="E19" s="723">
        <v>4000000</v>
      </c>
      <c r="F19" s="723"/>
      <c r="G19" s="723">
        <v>4000000</v>
      </c>
      <c r="H19" s="724" t="s">
        <v>353</v>
      </c>
      <c r="I19" s="724" t="s">
        <v>690</v>
      </c>
      <c r="J19" s="725" t="s">
        <v>626</v>
      </c>
      <c r="K19" s="726">
        <v>3980000</v>
      </c>
      <c r="L19" s="727">
        <f t="shared" si="10"/>
        <v>20000</v>
      </c>
      <c r="M19" s="726">
        <v>3751472.95</v>
      </c>
      <c r="N19" s="727">
        <f t="shared" si="11"/>
        <v>228527.04999999981</v>
      </c>
      <c r="O19" s="727">
        <v>100</v>
      </c>
      <c r="P19" s="728" t="s">
        <v>29</v>
      </c>
    </row>
    <row r="20" spans="1:17" ht="43.5" customHeight="1" x14ac:dyDescent="0.2">
      <c r="A20" s="912" t="s">
        <v>837</v>
      </c>
      <c r="B20" s="912"/>
      <c r="C20" s="912"/>
      <c r="D20" s="912"/>
      <c r="E20" s="364">
        <f>G20</f>
        <v>0</v>
      </c>
      <c r="F20" s="364"/>
      <c r="G20" s="364">
        <f>6000000-6000000</f>
        <v>0</v>
      </c>
      <c r="H20" s="612" t="s">
        <v>637</v>
      </c>
      <c r="I20" s="365" t="s">
        <v>690</v>
      </c>
      <c r="J20" s="342" t="s">
        <v>680</v>
      </c>
      <c r="K20" s="475">
        <v>0</v>
      </c>
      <c r="L20" s="516">
        <v>0</v>
      </c>
      <c r="M20" s="475"/>
      <c r="N20" s="516">
        <v>0</v>
      </c>
      <c r="O20" s="516">
        <v>0</v>
      </c>
      <c r="P20" s="208" t="s">
        <v>29</v>
      </c>
      <c r="Q20" s="409">
        <v>6000000</v>
      </c>
    </row>
    <row r="21" spans="1:17" ht="47.25" customHeight="1" x14ac:dyDescent="0.2">
      <c r="A21" s="912" t="s">
        <v>879</v>
      </c>
      <c r="B21" s="912"/>
      <c r="C21" s="912"/>
      <c r="D21" s="912"/>
      <c r="E21" s="364">
        <v>5000000</v>
      </c>
      <c r="F21" s="364"/>
      <c r="G21" s="364">
        <v>5000000</v>
      </c>
      <c r="H21" s="365" t="s">
        <v>353</v>
      </c>
      <c r="I21" s="365" t="s">
        <v>690</v>
      </c>
      <c r="J21" s="342" t="s">
        <v>626</v>
      </c>
      <c r="K21" s="475">
        <v>4944000</v>
      </c>
      <c r="L21" s="516">
        <f t="shared" si="10"/>
        <v>56000</v>
      </c>
      <c r="M21" s="475">
        <v>2559832.1</v>
      </c>
      <c r="N21" s="516">
        <f t="shared" si="11"/>
        <v>2384167.9</v>
      </c>
      <c r="O21" s="516">
        <v>100</v>
      </c>
      <c r="P21" s="208" t="s">
        <v>29</v>
      </c>
    </row>
    <row r="22" spans="1:17" s="729" customFormat="1" ht="45.75" customHeight="1" x14ac:dyDescent="0.2">
      <c r="A22" s="917" t="s">
        <v>880</v>
      </c>
      <c r="B22" s="917"/>
      <c r="C22" s="917"/>
      <c r="D22" s="917"/>
      <c r="E22" s="730">
        <v>1355000</v>
      </c>
      <c r="F22" s="723"/>
      <c r="G22" s="730">
        <v>1355000</v>
      </c>
      <c r="H22" s="724" t="s">
        <v>353</v>
      </c>
      <c r="I22" s="731" t="s">
        <v>689</v>
      </c>
      <c r="J22" s="725" t="s">
        <v>626</v>
      </c>
      <c r="K22" s="732">
        <v>814935</v>
      </c>
      <c r="L22" s="727">
        <f t="shared" si="10"/>
        <v>540065</v>
      </c>
      <c r="M22" s="726">
        <v>814935</v>
      </c>
      <c r="N22" s="727">
        <f t="shared" si="11"/>
        <v>0</v>
      </c>
      <c r="O22" s="727">
        <v>100</v>
      </c>
      <c r="P22" s="728" t="s">
        <v>29</v>
      </c>
    </row>
    <row r="23" spans="1:17" s="729" customFormat="1" ht="45" customHeight="1" x14ac:dyDescent="0.2">
      <c r="A23" s="917" t="s">
        <v>881</v>
      </c>
      <c r="B23" s="917"/>
      <c r="C23" s="917"/>
      <c r="D23" s="917"/>
      <c r="E23" s="730">
        <v>1581000</v>
      </c>
      <c r="F23" s="730"/>
      <c r="G23" s="730">
        <v>1581000</v>
      </c>
      <c r="H23" s="724" t="s">
        <v>353</v>
      </c>
      <c r="I23" s="731" t="s">
        <v>689</v>
      </c>
      <c r="J23" s="725" t="s">
        <v>626</v>
      </c>
      <c r="K23" s="732">
        <v>939870</v>
      </c>
      <c r="L23" s="727">
        <f t="shared" si="10"/>
        <v>641130</v>
      </c>
      <c r="M23" s="732">
        <v>939870</v>
      </c>
      <c r="N23" s="727">
        <f t="shared" si="11"/>
        <v>0</v>
      </c>
      <c r="O23" s="727">
        <v>100</v>
      </c>
      <c r="P23" s="728" t="s">
        <v>29</v>
      </c>
    </row>
    <row r="24" spans="1:17" s="474" customFormat="1" ht="27" customHeight="1" x14ac:dyDescent="0.2">
      <c r="A24" s="922" t="s">
        <v>406</v>
      </c>
      <c r="B24" s="922"/>
      <c r="C24" s="922"/>
      <c r="D24" s="922"/>
      <c r="E24" s="478">
        <f>SUM(E25:E28)</f>
        <v>102397000</v>
      </c>
      <c r="F24" s="476"/>
      <c r="G24" s="478">
        <f>SUM(G25:G28)</f>
        <v>102397000</v>
      </c>
      <c r="H24" s="477"/>
      <c r="I24" s="477"/>
      <c r="J24" s="477"/>
      <c r="K24" s="479">
        <f>SUM(K25:K28)</f>
        <v>100531000</v>
      </c>
      <c r="L24" s="479">
        <f t="shared" ref="L24:N24" si="13">SUM(L25:L28)</f>
        <v>1866000</v>
      </c>
      <c r="M24" s="479">
        <f t="shared" si="13"/>
        <v>37207526.200000003</v>
      </c>
      <c r="N24" s="479">
        <f t="shared" si="13"/>
        <v>63323473.799999997</v>
      </c>
      <c r="O24" s="489">
        <f>M24*100/G24</f>
        <v>36.336539351738828</v>
      </c>
      <c r="P24" s="408"/>
    </row>
    <row r="25" spans="1:17" ht="63.75" customHeight="1" x14ac:dyDescent="0.2">
      <c r="A25" s="912" t="s">
        <v>1032</v>
      </c>
      <c r="B25" s="912"/>
      <c r="C25" s="912"/>
      <c r="D25" s="912"/>
      <c r="E25" s="476">
        <f>G25</f>
        <v>49647000</v>
      </c>
      <c r="F25" s="478"/>
      <c r="G25" s="476">
        <v>49647000</v>
      </c>
      <c r="H25" s="751" t="s">
        <v>1043</v>
      </c>
      <c r="I25" s="321" t="s">
        <v>265</v>
      </c>
      <c r="J25" s="342" t="s">
        <v>627</v>
      </c>
      <c r="K25" s="489">
        <v>47840000</v>
      </c>
      <c r="L25" s="516">
        <f>G25-K25</f>
        <v>1807000</v>
      </c>
      <c r="M25" s="516">
        <f>7176000+2510643.2</f>
        <v>9686643.1999999993</v>
      </c>
      <c r="N25" s="516">
        <f>E25-M25-L25</f>
        <v>38153356.799999997</v>
      </c>
      <c r="O25" s="516">
        <f>M25*100/G25</f>
        <v>19.511034302173343</v>
      </c>
      <c r="P25" s="208" t="s">
        <v>407</v>
      </c>
    </row>
    <row r="26" spans="1:17" ht="71.25" customHeight="1" x14ac:dyDescent="0.2">
      <c r="A26" s="912" t="s">
        <v>921</v>
      </c>
      <c r="B26" s="912"/>
      <c r="C26" s="912"/>
      <c r="D26" s="912"/>
      <c r="E26" s="476">
        <f>G26</f>
        <v>42161000</v>
      </c>
      <c r="F26" s="476"/>
      <c r="G26" s="476">
        <v>42161000</v>
      </c>
      <c r="H26" s="751" t="s">
        <v>1043</v>
      </c>
      <c r="I26" s="321" t="s">
        <v>699</v>
      </c>
      <c r="J26" s="342" t="s">
        <v>627</v>
      </c>
      <c r="K26" s="489">
        <v>42161000</v>
      </c>
      <c r="L26" s="516">
        <f>G26-K26</f>
        <v>0</v>
      </c>
      <c r="M26" s="489">
        <f>6745760+10245123</f>
        <v>16990883</v>
      </c>
      <c r="N26" s="516">
        <f t="shared" ref="N26:N28" si="14">E26-M26-L26</f>
        <v>25170117</v>
      </c>
      <c r="O26" s="516">
        <f t="shared" ref="O26" si="15">M26*100/G26</f>
        <v>40.299999999999997</v>
      </c>
      <c r="P26" s="208" t="s">
        <v>407</v>
      </c>
    </row>
    <row r="27" spans="1:17" s="729" customFormat="1" ht="46.5" customHeight="1" x14ac:dyDescent="0.2">
      <c r="A27" s="917" t="s">
        <v>755</v>
      </c>
      <c r="B27" s="917"/>
      <c r="C27" s="917"/>
      <c r="D27" s="917"/>
      <c r="E27" s="733">
        <v>4440000</v>
      </c>
      <c r="F27" s="730"/>
      <c r="G27" s="733">
        <v>4440000</v>
      </c>
      <c r="H27" s="731" t="s">
        <v>353</v>
      </c>
      <c r="I27" s="724" t="s">
        <v>678</v>
      </c>
      <c r="J27" s="725" t="s">
        <v>721</v>
      </c>
      <c r="K27" s="727">
        <v>4400000</v>
      </c>
      <c r="L27" s="727">
        <f>G27-K27</f>
        <v>40000</v>
      </c>
      <c r="M27" s="732">
        <v>4400000</v>
      </c>
      <c r="N27" s="727">
        <f t="shared" si="14"/>
        <v>0</v>
      </c>
      <c r="O27" s="727">
        <v>100</v>
      </c>
      <c r="P27" s="728" t="s">
        <v>5</v>
      </c>
    </row>
    <row r="28" spans="1:17" s="729" customFormat="1" ht="46.5" customHeight="1" x14ac:dyDescent="0.2">
      <c r="A28" s="917" t="s">
        <v>838</v>
      </c>
      <c r="B28" s="917"/>
      <c r="C28" s="917"/>
      <c r="D28" s="917"/>
      <c r="E28" s="733">
        <f>G28</f>
        <v>6149000</v>
      </c>
      <c r="F28" s="733"/>
      <c r="G28" s="733">
        <v>6149000</v>
      </c>
      <c r="H28" s="731" t="s">
        <v>353</v>
      </c>
      <c r="I28" s="724" t="s">
        <v>678</v>
      </c>
      <c r="J28" s="725" t="s">
        <v>871</v>
      </c>
      <c r="K28" s="727">
        <v>6130000</v>
      </c>
      <c r="L28" s="727">
        <f>G28-K28</f>
        <v>19000</v>
      </c>
      <c r="M28" s="727">
        <v>6130000</v>
      </c>
      <c r="N28" s="727">
        <f t="shared" si="14"/>
        <v>0</v>
      </c>
      <c r="O28" s="727">
        <v>100</v>
      </c>
      <c r="P28" s="728" t="s">
        <v>5</v>
      </c>
    </row>
    <row r="29" spans="1:17" ht="28.5" customHeight="1" x14ac:dyDescent="0.2">
      <c r="A29" s="919" t="s">
        <v>756</v>
      </c>
      <c r="B29" s="919"/>
      <c r="C29" s="919"/>
      <c r="D29" s="919"/>
      <c r="E29" s="483">
        <f>E30</f>
        <v>111394900</v>
      </c>
      <c r="F29" s="483">
        <f t="shared" ref="F29:G29" si="16">F30</f>
        <v>86537400</v>
      </c>
      <c r="G29" s="483">
        <f t="shared" si="16"/>
        <v>24857500</v>
      </c>
      <c r="H29" s="484"/>
      <c r="I29" s="484"/>
      <c r="J29" s="484"/>
      <c r="K29" s="485">
        <f>K30</f>
        <v>19822814.050000001</v>
      </c>
      <c r="L29" s="485">
        <f t="shared" ref="L29:N29" si="17">L30</f>
        <v>5034685.9499999993</v>
      </c>
      <c r="M29" s="485">
        <f t="shared" si="17"/>
        <v>9517575.9199999999</v>
      </c>
      <c r="N29" s="485">
        <f t="shared" si="17"/>
        <v>96844638.129999995</v>
      </c>
      <c r="O29" s="525">
        <f>M29*100/E29</f>
        <v>8.5439961075417283</v>
      </c>
      <c r="P29" s="212"/>
    </row>
    <row r="30" spans="1:17" s="474" customFormat="1" ht="30.75" customHeight="1" x14ac:dyDescent="0.2">
      <c r="A30" s="914" t="s">
        <v>757</v>
      </c>
      <c r="B30" s="914"/>
      <c r="C30" s="914"/>
      <c r="D30" s="914"/>
      <c r="E30" s="486">
        <f>F30+G30</f>
        <v>111394900</v>
      </c>
      <c r="F30" s="486">
        <f>F31+F60+F45</f>
        <v>86537400</v>
      </c>
      <c r="G30" s="486">
        <f>G31+G45+G62</f>
        <v>24857500</v>
      </c>
      <c r="H30" s="487"/>
      <c r="I30" s="487"/>
      <c r="J30" s="487"/>
      <c r="K30" s="488">
        <f>K31+K45+K60</f>
        <v>19822814.050000001</v>
      </c>
      <c r="L30" s="488">
        <f>L31+L45+L60</f>
        <v>5034685.9499999993</v>
      </c>
      <c r="M30" s="488">
        <f>M31+M45+M60</f>
        <v>9517575.9199999999</v>
      </c>
      <c r="N30" s="488">
        <f>N31+N45+N60</f>
        <v>96844638.129999995</v>
      </c>
      <c r="O30" s="525">
        <f>M30*100/E30</f>
        <v>8.5439961075417283</v>
      </c>
      <c r="P30" s="216"/>
    </row>
    <row r="31" spans="1:17" ht="37.5" x14ac:dyDescent="0.2">
      <c r="A31" s="912" t="s">
        <v>758</v>
      </c>
      <c r="B31" s="912"/>
      <c r="C31" s="912"/>
      <c r="D31" s="912"/>
      <c r="E31" s="476">
        <f>F31+G31</f>
        <v>104442000</v>
      </c>
      <c r="F31" s="478">
        <f>F32</f>
        <v>84056000</v>
      </c>
      <c r="G31" s="478">
        <f>G33</f>
        <v>20386000</v>
      </c>
      <c r="H31" s="480"/>
      <c r="I31" s="480"/>
      <c r="J31" s="480"/>
      <c r="K31" s="479">
        <f>K32+K33</f>
        <v>16606314.050000001</v>
      </c>
      <c r="L31" s="479">
        <f>L32+L33</f>
        <v>3779685.9499999993</v>
      </c>
      <c r="M31" s="479">
        <f t="shared" ref="M31:N31" si="18">M32+M33</f>
        <v>6067944.2400000002</v>
      </c>
      <c r="N31" s="479">
        <f t="shared" si="18"/>
        <v>94594369.810000002</v>
      </c>
      <c r="O31" s="516">
        <f>M31*100/E31</f>
        <v>5.809869822485207</v>
      </c>
      <c r="P31" s="208" t="s">
        <v>412</v>
      </c>
      <c r="Q31" s="753">
        <f>1200000+1123430+453840</f>
        <v>2777270</v>
      </c>
    </row>
    <row r="32" spans="1:17" ht="36.75" customHeight="1" x14ac:dyDescent="0.2">
      <c r="A32" s="912" t="s">
        <v>81</v>
      </c>
      <c r="B32" s="912"/>
      <c r="C32" s="912"/>
      <c r="D32" s="912"/>
      <c r="E32" s="476">
        <f>F32</f>
        <v>84056000</v>
      </c>
      <c r="F32" s="478">
        <v>84056000</v>
      </c>
      <c r="G32" s="478"/>
      <c r="H32" s="751" t="s">
        <v>1043</v>
      </c>
      <c r="I32" s="526"/>
      <c r="J32" s="480"/>
      <c r="K32" s="479"/>
      <c r="L32" s="479"/>
      <c r="M32" s="479">
        <f>193600+196400+407520+407520+407520+112400+404690+157920+74480+36000+9240+122360+43600+7741.92+7741.92+15000+15000+15928+157920+157920+99000+157920+15000+15000+14800+108600+14986+49898+15000+15000+15000+6500+10008.4+17905+77200</f>
        <v>3582319.2399999998</v>
      </c>
      <c r="N32" s="479">
        <f>E32-M32</f>
        <v>80473680.760000005</v>
      </c>
      <c r="O32" s="516">
        <f>M32*100/E32</f>
        <v>4.2618245455410682</v>
      </c>
      <c r="P32" s="208"/>
    </row>
    <row r="33" spans="1:18" ht="27.75" customHeight="1" x14ac:dyDescent="0.2">
      <c r="A33" s="912" t="s">
        <v>80</v>
      </c>
      <c r="B33" s="912"/>
      <c r="C33" s="912"/>
      <c r="D33" s="912"/>
      <c r="E33" s="476">
        <f>G33</f>
        <v>20386000</v>
      </c>
      <c r="F33" s="478"/>
      <c r="G33" s="478">
        <f>SUM(G34:G44)</f>
        <v>20386000</v>
      </c>
      <c r="H33" s="480"/>
      <c r="I33" s="480"/>
      <c r="J33" s="480"/>
      <c r="K33" s="479">
        <f>SUM(K34:K44)</f>
        <v>16606314.050000001</v>
      </c>
      <c r="L33" s="479">
        <f>SUM(L34:L44)</f>
        <v>3779685.9499999993</v>
      </c>
      <c r="M33" s="479">
        <f t="shared" ref="M33:N33" si="19">SUM(M34:M44)</f>
        <v>2485625</v>
      </c>
      <c r="N33" s="479">
        <f t="shared" si="19"/>
        <v>14120689.050000001</v>
      </c>
      <c r="O33" s="516">
        <f>M33*100/G33</f>
        <v>12.192803885019131</v>
      </c>
      <c r="P33" s="208"/>
    </row>
    <row r="34" spans="1:18" ht="47.25" customHeight="1" x14ac:dyDescent="0.2">
      <c r="A34" s="912" t="s">
        <v>826</v>
      </c>
      <c r="B34" s="912"/>
      <c r="C34" s="912"/>
      <c r="D34" s="912"/>
      <c r="E34" s="476">
        <f>G34</f>
        <v>0</v>
      </c>
      <c r="F34" s="478"/>
      <c r="G34" s="476">
        <f>1125000-1125000</f>
        <v>0</v>
      </c>
      <c r="H34" s="452" t="s">
        <v>637</v>
      </c>
      <c r="I34" s="321"/>
      <c r="J34" s="323"/>
      <c r="K34" s="489"/>
      <c r="L34" s="479"/>
      <c r="M34" s="479"/>
      <c r="N34" s="516">
        <v>0</v>
      </c>
      <c r="O34" s="479">
        <v>0</v>
      </c>
      <c r="P34" s="208"/>
      <c r="Q34" s="473">
        <f>E34</f>
        <v>0</v>
      </c>
    </row>
    <row r="35" spans="1:18" s="729" customFormat="1" ht="47.25" customHeight="1" x14ac:dyDescent="0.2">
      <c r="A35" s="917" t="s">
        <v>825</v>
      </c>
      <c r="B35" s="917"/>
      <c r="C35" s="917"/>
      <c r="D35" s="917"/>
      <c r="E35" s="730">
        <f t="shared" ref="E35:E44" si="20">G35</f>
        <v>600000</v>
      </c>
      <c r="F35" s="735"/>
      <c r="G35" s="730">
        <v>600000</v>
      </c>
      <c r="H35" s="731" t="s">
        <v>353</v>
      </c>
      <c r="I35" s="731" t="s">
        <v>730</v>
      </c>
      <c r="J35" s="724" t="s">
        <v>731</v>
      </c>
      <c r="K35" s="732">
        <v>535000</v>
      </c>
      <c r="L35" s="727">
        <f>G35-K35</f>
        <v>65000</v>
      </c>
      <c r="M35" s="727">
        <v>535000</v>
      </c>
      <c r="N35" s="727">
        <f t="shared" ref="N35:N43" si="21">E35-M35-L35</f>
        <v>0</v>
      </c>
      <c r="O35" s="727">
        <v>100</v>
      </c>
      <c r="P35" s="728"/>
    </row>
    <row r="36" spans="1:18" s="729" customFormat="1" ht="44.25" customHeight="1" x14ac:dyDescent="0.2">
      <c r="A36" s="917" t="s">
        <v>827</v>
      </c>
      <c r="B36" s="917"/>
      <c r="C36" s="917"/>
      <c r="D36" s="917"/>
      <c r="E36" s="730">
        <f t="shared" si="20"/>
        <v>500000</v>
      </c>
      <c r="F36" s="735"/>
      <c r="G36" s="730">
        <v>500000</v>
      </c>
      <c r="H36" s="731" t="s">
        <v>353</v>
      </c>
      <c r="I36" s="731" t="s">
        <v>730</v>
      </c>
      <c r="J36" s="724" t="s">
        <v>731</v>
      </c>
      <c r="K36" s="732">
        <v>361125</v>
      </c>
      <c r="L36" s="727">
        <f>G36-K36</f>
        <v>138875</v>
      </c>
      <c r="M36" s="727">
        <v>361125</v>
      </c>
      <c r="N36" s="727">
        <f t="shared" si="21"/>
        <v>0</v>
      </c>
      <c r="O36" s="727">
        <v>100</v>
      </c>
      <c r="P36" s="728"/>
    </row>
    <row r="37" spans="1:18" ht="36" customHeight="1" x14ac:dyDescent="0.2">
      <c r="A37" s="912" t="s">
        <v>579</v>
      </c>
      <c r="B37" s="912"/>
      <c r="C37" s="912"/>
      <c r="D37" s="912"/>
      <c r="E37" s="476">
        <f t="shared" si="20"/>
        <v>0</v>
      </c>
      <c r="F37" s="478"/>
      <c r="G37" s="476">
        <f>2375000-2375000</f>
        <v>0</v>
      </c>
      <c r="H37" s="532" t="s">
        <v>637</v>
      </c>
      <c r="I37" s="323"/>
      <c r="J37" s="323"/>
      <c r="K37" s="489"/>
      <c r="L37" s="516"/>
      <c r="M37" s="479"/>
      <c r="N37" s="516">
        <v>0</v>
      </c>
      <c r="O37" s="479">
        <v>0</v>
      </c>
      <c r="P37" s="208"/>
      <c r="Q37" s="473">
        <f>E37</f>
        <v>0</v>
      </c>
    </row>
    <row r="38" spans="1:18" s="729" customFormat="1" ht="44.25" customHeight="1" x14ac:dyDescent="0.2">
      <c r="A38" s="917" t="s">
        <v>580</v>
      </c>
      <c r="B38" s="917"/>
      <c r="C38" s="917"/>
      <c r="D38" s="917"/>
      <c r="E38" s="730">
        <f t="shared" si="20"/>
        <v>500000</v>
      </c>
      <c r="F38" s="736"/>
      <c r="G38" s="730">
        <v>500000</v>
      </c>
      <c r="H38" s="731" t="s">
        <v>353</v>
      </c>
      <c r="I38" s="731" t="s">
        <v>730</v>
      </c>
      <c r="J38" s="724" t="s">
        <v>731</v>
      </c>
      <c r="K38" s="732">
        <v>428000</v>
      </c>
      <c r="L38" s="727">
        <f t="shared" ref="L38:L44" si="22">G38-K38</f>
        <v>72000</v>
      </c>
      <c r="M38" s="727">
        <v>428000</v>
      </c>
      <c r="N38" s="727">
        <f t="shared" si="21"/>
        <v>0</v>
      </c>
      <c r="O38" s="727">
        <v>100</v>
      </c>
      <c r="P38" s="728"/>
    </row>
    <row r="39" spans="1:18" s="729" customFormat="1" ht="56.25" x14ac:dyDescent="0.2">
      <c r="A39" s="917" t="s">
        <v>581</v>
      </c>
      <c r="B39" s="917"/>
      <c r="C39" s="917"/>
      <c r="D39" s="917"/>
      <c r="E39" s="730">
        <f t="shared" si="20"/>
        <v>375000</v>
      </c>
      <c r="F39" s="736"/>
      <c r="G39" s="730">
        <v>375000</v>
      </c>
      <c r="H39" s="731" t="s">
        <v>353</v>
      </c>
      <c r="I39" s="731" t="s">
        <v>732</v>
      </c>
      <c r="J39" s="724" t="s">
        <v>733</v>
      </c>
      <c r="K39" s="732">
        <v>235000</v>
      </c>
      <c r="L39" s="727">
        <f t="shared" si="22"/>
        <v>140000</v>
      </c>
      <c r="M39" s="727">
        <v>235000</v>
      </c>
      <c r="N39" s="727">
        <f t="shared" si="21"/>
        <v>0</v>
      </c>
      <c r="O39" s="727">
        <v>100</v>
      </c>
      <c r="P39" s="728"/>
    </row>
    <row r="40" spans="1:18" s="729" customFormat="1" ht="37.5" x14ac:dyDescent="0.2">
      <c r="A40" s="917" t="s">
        <v>582</v>
      </c>
      <c r="B40" s="917"/>
      <c r="C40" s="917"/>
      <c r="D40" s="917"/>
      <c r="E40" s="730">
        <f t="shared" si="20"/>
        <v>400000</v>
      </c>
      <c r="F40" s="736"/>
      <c r="G40" s="730">
        <v>400000</v>
      </c>
      <c r="H40" s="737" t="s">
        <v>353</v>
      </c>
      <c r="I40" s="731" t="s">
        <v>686</v>
      </c>
      <c r="J40" s="724" t="s">
        <v>685</v>
      </c>
      <c r="K40" s="732">
        <v>400000</v>
      </c>
      <c r="L40" s="727">
        <f t="shared" si="22"/>
        <v>0</v>
      </c>
      <c r="M40" s="727">
        <v>400000</v>
      </c>
      <c r="N40" s="727">
        <f t="shared" si="21"/>
        <v>0</v>
      </c>
      <c r="O40" s="727">
        <f t="shared" ref="O40:O44" si="23">M40*100/G40</f>
        <v>100</v>
      </c>
      <c r="P40" s="728"/>
    </row>
    <row r="41" spans="1:18" s="729" customFormat="1" ht="40.5" customHeight="1" x14ac:dyDescent="0.2">
      <c r="A41" s="917" t="s">
        <v>560</v>
      </c>
      <c r="B41" s="917"/>
      <c r="C41" s="917"/>
      <c r="D41" s="917"/>
      <c r="E41" s="730">
        <f t="shared" si="20"/>
        <v>87500</v>
      </c>
      <c r="F41" s="736"/>
      <c r="G41" s="730">
        <v>87500</v>
      </c>
      <c r="H41" s="737" t="s">
        <v>353</v>
      </c>
      <c r="I41" s="731" t="s">
        <v>686</v>
      </c>
      <c r="J41" s="724" t="s">
        <v>685</v>
      </c>
      <c r="K41" s="732">
        <v>82500</v>
      </c>
      <c r="L41" s="727">
        <f t="shared" si="22"/>
        <v>5000</v>
      </c>
      <c r="M41" s="727">
        <v>82500</v>
      </c>
      <c r="N41" s="727">
        <f t="shared" si="21"/>
        <v>0</v>
      </c>
      <c r="O41" s="727">
        <v>100</v>
      </c>
      <c r="P41" s="728"/>
    </row>
    <row r="42" spans="1:18" s="729" customFormat="1" ht="44.25" customHeight="1" x14ac:dyDescent="0.2">
      <c r="A42" s="917" t="s">
        <v>583</v>
      </c>
      <c r="B42" s="917"/>
      <c r="C42" s="917"/>
      <c r="D42" s="917"/>
      <c r="E42" s="730">
        <f t="shared" si="20"/>
        <v>137500</v>
      </c>
      <c r="F42" s="736"/>
      <c r="G42" s="730">
        <v>137500</v>
      </c>
      <c r="H42" s="737" t="s">
        <v>353</v>
      </c>
      <c r="I42" s="731" t="s">
        <v>688</v>
      </c>
      <c r="J42" s="724" t="s">
        <v>734</v>
      </c>
      <c r="K42" s="732">
        <v>96250</v>
      </c>
      <c r="L42" s="727">
        <f t="shared" si="22"/>
        <v>41250</v>
      </c>
      <c r="M42" s="727">
        <v>96250</v>
      </c>
      <c r="N42" s="727">
        <f t="shared" si="21"/>
        <v>0</v>
      </c>
      <c r="O42" s="727">
        <v>100</v>
      </c>
      <c r="P42" s="728"/>
      <c r="Q42" s="738">
        <f>E6-L6-M6-N6-Q6</f>
        <v>-28408000</v>
      </c>
    </row>
    <row r="43" spans="1:18" s="729" customFormat="1" ht="41.25" customHeight="1" x14ac:dyDescent="0.2">
      <c r="A43" s="917" t="s">
        <v>587</v>
      </c>
      <c r="B43" s="917"/>
      <c r="C43" s="917"/>
      <c r="D43" s="917"/>
      <c r="E43" s="730">
        <f t="shared" si="20"/>
        <v>450000</v>
      </c>
      <c r="F43" s="735"/>
      <c r="G43" s="730">
        <v>450000</v>
      </c>
      <c r="H43" s="731" t="s">
        <v>353</v>
      </c>
      <c r="I43" s="731" t="s">
        <v>730</v>
      </c>
      <c r="J43" s="724" t="s">
        <v>731</v>
      </c>
      <c r="K43" s="732">
        <v>347750</v>
      </c>
      <c r="L43" s="727">
        <f t="shared" si="22"/>
        <v>102250</v>
      </c>
      <c r="M43" s="727">
        <v>347750</v>
      </c>
      <c r="N43" s="727">
        <f t="shared" si="21"/>
        <v>0</v>
      </c>
      <c r="O43" s="727">
        <v>100</v>
      </c>
      <c r="P43" s="728"/>
    </row>
    <row r="44" spans="1:18" ht="62.25" customHeight="1" x14ac:dyDescent="0.2">
      <c r="A44" s="912" t="s">
        <v>588</v>
      </c>
      <c r="B44" s="912"/>
      <c r="C44" s="912"/>
      <c r="D44" s="912"/>
      <c r="E44" s="476">
        <f t="shared" si="20"/>
        <v>17336000</v>
      </c>
      <c r="F44" s="478"/>
      <c r="G44" s="476">
        <v>17336000</v>
      </c>
      <c r="H44" s="751" t="s">
        <v>1043</v>
      </c>
      <c r="I44" s="321" t="s">
        <v>728</v>
      </c>
      <c r="J44" s="365" t="s">
        <v>729</v>
      </c>
      <c r="K44" s="489">
        <v>14120689.050000001</v>
      </c>
      <c r="L44" s="516">
        <f t="shared" si="22"/>
        <v>3215310.9499999993</v>
      </c>
      <c r="M44" s="516"/>
      <c r="N44" s="516">
        <f>E44-M44-L44</f>
        <v>14120689.050000001</v>
      </c>
      <c r="O44" s="479">
        <f t="shared" si="23"/>
        <v>0</v>
      </c>
      <c r="P44" s="208"/>
      <c r="Q44" s="580">
        <v>15246010.949999999</v>
      </c>
      <c r="R44" s="580">
        <f>Q44-L44</f>
        <v>12030700</v>
      </c>
    </row>
    <row r="45" spans="1:18" s="474" customFormat="1" ht="37.5" customHeight="1" x14ac:dyDescent="0.2">
      <c r="A45" s="922" t="s">
        <v>759</v>
      </c>
      <c r="B45" s="922"/>
      <c r="C45" s="922"/>
      <c r="D45" s="922"/>
      <c r="E45" s="478">
        <f>F45+G45</f>
        <v>2020900</v>
      </c>
      <c r="F45" s="490">
        <f>F46+F47</f>
        <v>799400</v>
      </c>
      <c r="G45" s="490">
        <f>G48</f>
        <v>1221500</v>
      </c>
      <c r="H45" s="491"/>
      <c r="I45" s="491"/>
      <c r="J45" s="491"/>
      <c r="K45" s="492">
        <f>K46+K48</f>
        <v>1219500</v>
      </c>
      <c r="L45" s="492">
        <f>L46+L48</f>
        <v>2000</v>
      </c>
      <c r="M45" s="492">
        <f>M46+M48</f>
        <v>1944900</v>
      </c>
      <c r="N45" s="492">
        <f>E45-M45</f>
        <v>76000</v>
      </c>
      <c r="O45" s="492">
        <f>M45*100/E45</f>
        <v>96.239299322084221</v>
      </c>
      <c r="P45" s="408" t="s">
        <v>414</v>
      </c>
    </row>
    <row r="46" spans="1:18" s="474" customFormat="1" ht="37.5" x14ac:dyDescent="0.2">
      <c r="A46" s="922" t="s">
        <v>81</v>
      </c>
      <c r="B46" s="922"/>
      <c r="C46" s="922"/>
      <c r="D46" s="922"/>
      <c r="E46" s="478">
        <f>F46</f>
        <v>799400</v>
      </c>
      <c r="F46" s="490">
        <v>799400</v>
      </c>
      <c r="G46" s="490">
        <v>0</v>
      </c>
      <c r="H46" s="321" t="s">
        <v>862</v>
      </c>
      <c r="I46" s="491"/>
      <c r="J46" s="491"/>
      <c r="K46" s="479"/>
      <c r="L46" s="479"/>
      <c r="M46" s="492">
        <f>38800+55200+71000+75400+30000+15000+150000+50000+240000</f>
        <v>725400</v>
      </c>
      <c r="N46" s="492">
        <f>F46-M46</f>
        <v>74000</v>
      </c>
      <c r="O46" s="492">
        <f>M46*100/E46</f>
        <v>90.743057292969723</v>
      </c>
      <c r="P46" s="408"/>
      <c r="Q46" s="474">
        <f>1500+2000</f>
        <v>3500</v>
      </c>
    </row>
    <row r="47" spans="1:18" s="474" customFormat="1" ht="21" customHeight="1" x14ac:dyDescent="0.2">
      <c r="A47" s="925" t="s">
        <v>992</v>
      </c>
      <c r="B47" s="926"/>
      <c r="C47" s="926"/>
      <c r="D47" s="927"/>
      <c r="E47" s="478"/>
      <c r="F47" s="490">
        <f>3891000-3891000</f>
        <v>0</v>
      </c>
      <c r="G47" s="490"/>
      <c r="H47" s="452" t="s">
        <v>637</v>
      </c>
      <c r="I47" s="491"/>
      <c r="J47" s="491"/>
      <c r="K47" s="479"/>
      <c r="L47" s="479"/>
      <c r="M47" s="492"/>
      <c r="N47" s="492"/>
      <c r="O47" s="492"/>
      <c r="P47" s="408"/>
    </row>
    <row r="48" spans="1:18" s="743" customFormat="1" ht="24.75" customHeight="1" x14ac:dyDescent="0.2">
      <c r="A48" s="924" t="s">
        <v>80</v>
      </c>
      <c r="B48" s="924"/>
      <c r="C48" s="924"/>
      <c r="D48" s="924"/>
      <c r="E48" s="735">
        <f>G48</f>
        <v>1221500</v>
      </c>
      <c r="F48" s="739">
        <v>0</v>
      </c>
      <c r="G48" s="739">
        <f>SUM(G49:G59)</f>
        <v>1221500</v>
      </c>
      <c r="H48" s="740"/>
      <c r="I48" s="740"/>
      <c r="J48" s="740"/>
      <c r="K48" s="741">
        <f>SUM(K49:K59)</f>
        <v>1219500</v>
      </c>
      <c r="L48" s="741">
        <f t="shared" ref="L48:M48" si="24">SUM(L49:L59)</f>
        <v>2000</v>
      </c>
      <c r="M48" s="741">
        <f t="shared" si="24"/>
        <v>1219500</v>
      </c>
      <c r="N48" s="741">
        <f>SUM(N49:N59)</f>
        <v>0</v>
      </c>
      <c r="O48" s="741">
        <v>100</v>
      </c>
      <c r="P48" s="742"/>
    </row>
    <row r="49" spans="1:17" ht="42" customHeight="1" x14ac:dyDescent="0.2">
      <c r="A49" s="912" t="s">
        <v>568</v>
      </c>
      <c r="B49" s="912"/>
      <c r="C49" s="912"/>
      <c r="D49" s="912"/>
      <c r="E49" s="481">
        <f>G49</f>
        <v>50000</v>
      </c>
      <c r="F49" s="476">
        <v>0</v>
      </c>
      <c r="G49" s="476">
        <v>50000</v>
      </c>
      <c r="H49" s="321" t="s">
        <v>353</v>
      </c>
      <c r="I49" s="321" t="s">
        <v>700</v>
      </c>
      <c r="J49" s="342" t="s">
        <v>701</v>
      </c>
      <c r="K49" s="516">
        <v>50000</v>
      </c>
      <c r="L49" s="489">
        <f>E49-K49</f>
        <v>0</v>
      </c>
      <c r="M49" s="489">
        <v>50000</v>
      </c>
      <c r="N49" s="489">
        <f>E49-M49-L49</f>
        <v>0</v>
      </c>
      <c r="O49" s="489">
        <f>M49*100/G49</f>
        <v>100</v>
      </c>
      <c r="P49" s="208"/>
    </row>
    <row r="50" spans="1:17" ht="65.25" customHeight="1" x14ac:dyDescent="0.2">
      <c r="A50" s="912" t="s">
        <v>912</v>
      </c>
      <c r="B50" s="912"/>
      <c r="C50" s="912"/>
      <c r="D50" s="912"/>
      <c r="E50" s="481">
        <f t="shared" ref="E50:E59" si="25">G50</f>
        <v>130000</v>
      </c>
      <c r="F50" s="476">
        <v>0</v>
      </c>
      <c r="G50" s="476">
        <v>130000</v>
      </c>
      <c r="H50" s="321" t="s">
        <v>353</v>
      </c>
      <c r="I50" s="321" t="s">
        <v>700</v>
      </c>
      <c r="J50" s="342" t="s">
        <v>701</v>
      </c>
      <c r="K50" s="516">
        <v>129500</v>
      </c>
      <c r="L50" s="489">
        <f>E50-K50</f>
        <v>500</v>
      </c>
      <c r="M50" s="489">
        <v>129500</v>
      </c>
      <c r="N50" s="489">
        <f t="shared" ref="N50:N58" si="26">E50-M50-L50</f>
        <v>0</v>
      </c>
      <c r="O50" s="489">
        <v>100</v>
      </c>
      <c r="P50" s="208"/>
    </row>
    <row r="51" spans="1:17" ht="42" customHeight="1" x14ac:dyDescent="0.2">
      <c r="A51" s="912" t="s">
        <v>570</v>
      </c>
      <c r="B51" s="912"/>
      <c r="C51" s="912"/>
      <c r="D51" s="912"/>
      <c r="E51" s="481">
        <f t="shared" si="25"/>
        <v>30000</v>
      </c>
      <c r="F51" s="476">
        <v>0</v>
      </c>
      <c r="G51" s="476">
        <v>30000</v>
      </c>
      <c r="H51" s="321" t="s">
        <v>353</v>
      </c>
      <c r="I51" s="321" t="s">
        <v>700</v>
      </c>
      <c r="J51" s="342" t="s">
        <v>701</v>
      </c>
      <c r="K51" s="516">
        <v>30000</v>
      </c>
      <c r="L51" s="489">
        <f>E51-K51</f>
        <v>0</v>
      </c>
      <c r="M51" s="489">
        <v>30000</v>
      </c>
      <c r="N51" s="489">
        <f t="shared" si="26"/>
        <v>0</v>
      </c>
      <c r="O51" s="489">
        <f t="shared" ref="O51:O58" si="27">M51*100/G51</f>
        <v>100</v>
      </c>
      <c r="P51" s="208"/>
    </row>
    <row r="52" spans="1:17" ht="42.75" customHeight="1" x14ac:dyDescent="0.2">
      <c r="A52" s="912" t="s">
        <v>913</v>
      </c>
      <c r="B52" s="912"/>
      <c r="C52" s="912"/>
      <c r="D52" s="912"/>
      <c r="E52" s="481">
        <f t="shared" si="25"/>
        <v>25000</v>
      </c>
      <c r="F52" s="476">
        <v>0</v>
      </c>
      <c r="G52" s="476">
        <v>25000</v>
      </c>
      <c r="H52" s="321" t="s">
        <v>353</v>
      </c>
      <c r="I52" s="321" t="s">
        <v>700</v>
      </c>
      <c r="J52" s="342" t="s">
        <v>701</v>
      </c>
      <c r="K52" s="516">
        <v>24500</v>
      </c>
      <c r="L52" s="489">
        <f>E52-K52</f>
        <v>500</v>
      </c>
      <c r="M52" s="489">
        <v>24500</v>
      </c>
      <c r="N52" s="489">
        <f t="shared" si="26"/>
        <v>0</v>
      </c>
      <c r="O52" s="489">
        <v>100</v>
      </c>
      <c r="P52" s="208"/>
    </row>
    <row r="53" spans="1:17" ht="40.5" customHeight="1" x14ac:dyDescent="0.2">
      <c r="A53" s="912" t="s">
        <v>571</v>
      </c>
      <c r="B53" s="912"/>
      <c r="C53" s="912"/>
      <c r="D53" s="912"/>
      <c r="E53" s="481">
        <f t="shared" si="25"/>
        <v>32000</v>
      </c>
      <c r="F53" s="476">
        <v>0</v>
      </c>
      <c r="G53" s="476">
        <v>32000</v>
      </c>
      <c r="H53" s="321" t="s">
        <v>353</v>
      </c>
      <c r="I53" s="321" t="s">
        <v>700</v>
      </c>
      <c r="J53" s="342" t="s">
        <v>701</v>
      </c>
      <c r="K53" s="516">
        <v>32000</v>
      </c>
      <c r="L53" s="489">
        <f t="shared" ref="L53:L58" si="28">E53-K53</f>
        <v>0</v>
      </c>
      <c r="M53" s="489">
        <v>32000</v>
      </c>
      <c r="N53" s="489">
        <f t="shared" si="26"/>
        <v>0</v>
      </c>
      <c r="O53" s="489">
        <f t="shared" si="27"/>
        <v>100</v>
      </c>
      <c r="P53" s="208"/>
    </row>
    <row r="54" spans="1:17" ht="41.25" customHeight="1" x14ac:dyDescent="0.2">
      <c r="A54" s="912" t="s">
        <v>572</v>
      </c>
      <c r="B54" s="912"/>
      <c r="C54" s="912"/>
      <c r="D54" s="912"/>
      <c r="E54" s="481">
        <f t="shared" si="25"/>
        <v>24500</v>
      </c>
      <c r="F54" s="476">
        <v>0</v>
      </c>
      <c r="G54" s="481">
        <v>24500</v>
      </c>
      <c r="H54" s="321" t="s">
        <v>353</v>
      </c>
      <c r="I54" s="321" t="s">
        <v>700</v>
      </c>
      <c r="J54" s="342" t="s">
        <v>701</v>
      </c>
      <c r="K54" s="516">
        <v>24500</v>
      </c>
      <c r="L54" s="489">
        <f t="shared" si="28"/>
        <v>0</v>
      </c>
      <c r="M54" s="489">
        <v>24500</v>
      </c>
      <c r="N54" s="489">
        <f t="shared" si="26"/>
        <v>0</v>
      </c>
      <c r="O54" s="489">
        <f t="shared" si="27"/>
        <v>100</v>
      </c>
      <c r="P54" s="208"/>
    </row>
    <row r="55" spans="1:17" ht="47.25" customHeight="1" x14ac:dyDescent="0.2">
      <c r="A55" s="912" t="s">
        <v>574</v>
      </c>
      <c r="B55" s="912"/>
      <c r="C55" s="912"/>
      <c r="D55" s="912"/>
      <c r="E55" s="481">
        <f t="shared" si="25"/>
        <v>10000</v>
      </c>
      <c r="F55" s="476">
        <v>0</v>
      </c>
      <c r="G55" s="481">
        <v>10000</v>
      </c>
      <c r="H55" s="321" t="s">
        <v>353</v>
      </c>
      <c r="I55" s="321" t="s">
        <v>700</v>
      </c>
      <c r="J55" s="342" t="s">
        <v>701</v>
      </c>
      <c r="K55" s="516">
        <v>10000</v>
      </c>
      <c r="L55" s="489">
        <f t="shared" si="28"/>
        <v>0</v>
      </c>
      <c r="M55" s="489">
        <v>10000</v>
      </c>
      <c r="N55" s="489">
        <f t="shared" si="26"/>
        <v>0</v>
      </c>
      <c r="O55" s="489">
        <f t="shared" si="27"/>
        <v>100</v>
      </c>
      <c r="P55" s="208"/>
    </row>
    <row r="56" spans="1:17" ht="42" customHeight="1" x14ac:dyDescent="0.2">
      <c r="A56" s="912" t="s">
        <v>575</v>
      </c>
      <c r="B56" s="912"/>
      <c r="C56" s="912"/>
      <c r="D56" s="912"/>
      <c r="E56" s="481">
        <f t="shared" si="25"/>
        <v>450000</v>
      </c>
      <c r="F56" s="476">
        <v>0</v>
      </c>
      <c r="G56" s="481">
        <v>450000</v>
      </c>
      <c r="H56" s="321" t="s">
        <v>353</v>
      </c>
      <c r="I56" s="321" t="s">
        <v>700</v>
      </c>
      <c r="J56" s="342" t="s">
        <v>701</v>
      </c>
      <c r="K56" s="516">
        <v>449000</v>
      </c>
      <c r="L56" s="489">
        <f t="shared" si="28"/>
        <v>1000</v>
      </c>
      <c r="M56" s="489">
        <v>449000</v>
      </c>
      <c r="N56" s="489">
        <f t="shared" si="26"/>
        <v>0</v>
      </c>
      <c r="O56" s="489">
        <v>100</v>
      </c>
      <c r="P56" s="208"/>
    </row>
    <row r="57" spans="1:17" ht="46.5" customHeight="1" x14ac:dyDescent="0.2">
      <c r="A57" s="912" t="s">
        <v>585</v>
      </c>
      <c r="B57" s="912"/>
      <c r="C57" s="912"/>
      <c r="D57" s="912"/>
      <c r="E57" s="481">
        <f t="shared" si="25"/>
        <v>40000</v>
      </c>
      <c r="F57" s="476">
        <v>0</v>
      </c>
      <c r="G57" s="481">
        <v>40000</v>
      </c>
      <c r="H57" s="321" t="s">
        <v>353</v>
      </c>
      <c r="I57" s="321" t="s">
        <v>700</v>
      </c>
      <c r="J57" s="342" t="s">
        <v>701</v>
      </c>
      <c r="K57" s="516">
        <v>40000</v>
      </c>
      <c r="L57" s="489">
        <f t="shared" si="28"/>
        <v>0</v>
      </c>
      <c r="M57" s="489">
        <v>40000</v>
      </c>
      <c r="N57" s="489">
        <f t="shared" si="26"/>
        <v>0</v>
      </c>
      <c r="O57" s="489">
        <f t="shared" si="27"/>
        <v>100</v>
      </c>
      <c r="P57" s="208"/>
    </row>
    <row r="58" spans="1:17" ht="89.25" customHeight="1" x14ac:dyDescent="0.2">
      <c r="A58" s="912" t="s">
        <v>586</v>
      </c>
      <c r="B58" s="912"/>
      <c r="C58" s="912"/>
      <c r="D58" s="912"/>
      <c r="E58" s="481">
        <f t="shared" si="25"/>
        <v>430000</v>
      </c>
      <c r="F58" s="476">
        <v>0</v>
      </c>
      <c r="G58" s="481">
        <v>430000</v>
      </c>
      <c r="H58" s="321" t="s">
        <v>353</v>
      </c>
      <c r="I58" s="321" t="s">
        <v>700</v>
      </c>
      <c r="J58" s="342" t="s">
        <v>701</v>
      </c>
      <c r="K58" s="516">
        <v>430000</v>
      </c>
      <c r="L58" s="489">
        <f t="shared" si="28"/>
        <v>0</v>
      </c>
      <c r="M58" s="489">
        <v>430000</v>
      </c>
      <c r="N58" s="489">
        <f t="shared" si="26"/>
        <v>0</v>
      </c>
      <c r="O58" s="489">
        <f t="shared" si="27"/>
        <v>100</v>
      </c>
      <c r="P58" s="208"/>
    </row>
    <row r="59" spans="1:17" ht="47.25" customHeight="1" x14ac:dyDescent="0.2">
      <c r="A59" s="923" t="s">
        <v>589</v>
      </c>
      <c r="B59" s="923"/>
      <c r="C59" s="923"/>
      <c r="D59" s="923"/>
      <c r="E59" s="481">
        <f t="shared" si="25"/>
        <v>0</v>
      </c>
      <c r="F59" s="476">
        <v>0</v>
      </c>
      <c r="G59" s="481">
        <f>350000-350000</f>
        <v>0</v>
      </c>
      <c r="H59" s="452" t="s">
        <v>637</v>
      </c>
      <c r="I59" s="321"/>
      <c r="J59" s="342"/>
      <c r="K59" s="516">
        <v>0</v>
      </c>
      <c r="L59" s="489">
        <v>0</v>
      </c>
      <c r="M59" s="489"/>
      <c r="N59" s="489">
        <v>0</v>
      </c>
      <c r="O59" s="489">
        <v>0</v>
      </c>
      <c r="P59" s="208"/>
      <c r="Q59" s="473">
        <f>E59</f>
        <v>0</v>
      </c>
    </row>
    <row r="60" spans="1:17" s="474" customFormat="1" ht="44.25" customHeight="1" x14ac:dyDescent="0.2">
      <c r="A60" s="922" t="s">
        <v>760</v>
      </c>
      <c r="B60" s="922"/>
      <c r="C60" s="922"/>
      <c r="D60" s="922"/>
      <c r="E60" s="478">
        <f>F60+G60</f>
        <v>4932000</v>
      </c>
      <c r="F60" s="478">
        <f>F61</f>
        <v>1682000</v>
      </c>
      <c r="G60" s="478">
        <f>G62</f>
        <v>3250000</v>
      </c>
      <c r="H60" s="480"/>
      <c r="I60" s="480"/>
      <c r="J60" s="480"/>
      <c r="K60" s="479">
        <f>K61+K62</f>
        <v>1997000</v>
      </c>
      <c r="L60" s="479">
        <f t="shared" ref="L60:N60" si="29">L61+L62</f>
        <v>1253000</v>
      </c>
      <c r="M60" s="479">
        <f t="shared" si="29"/>
        <v>1504731.68</v>
      </c>
      <c r="N60" s="479">
        <f t="shared" si="29"/>
        <v>2174268.3200000003</v>
      </c>
      <c r="O60" s="479">
        <f>M60*100/E60</f>
        <v>30.509563665855637</v>
      </c>
      <c r="P60" s="408" t="s">
        <v>416</v>
      </c>
    </row>
    <row r="61" spans="1:17" s="474" customFormat="1" ht="37.5" x14ac:dyDescent="0.2">
      <c r="A61" s="922" t="s">
        <v>81</v>
      </c>
      <c r="B61" s="922"/>
      <c r="C61" s="922"/>
      <c r="D61" s="922"/>
      <c r="E61" s="478">
        <f>F61</f>
        <v>1682000</v>
      </c>
      <c r="F61" s="478">
        <v>1682000</v>
      </c>
      <c r="G61" s="478">
        <v>0</v>
      </c>
      <c r="H61" s="321" t="s">
        <v>862</v>
      </c>
      <c r="I61" s="480"/>
      <c r="J61" s="480"/>
      <c r="K61" s="479">
        <f>L61</f>
        <v>0</v>
      </c>
      <c r="L61" s="479"/>
      <c r="M61" s="479">
        <f>350+3750+9990+6000+30000+23000+240000+12300+21600+7836.68+2400+30000+3000+1310+241200+4995+867000</f>
        <v>1504731.68</v>
      </c>
      <c r="N61" s="479">
        <f>E61-M61</f>
        <v>177268.32000000007</v>
      </c>
      <c r="O61" s="479">
        <f>M61*100/E61</f>
        <v>89.460860879904871</v>
      </c>
      <c r="P61" s="408"/>
    </row>
    <row r="62" spans="1:17" s="474" customFormat="1" ht="24" customHeight="1" x14ac:dyDescent="0.2">
      <c r="A62" s="922" t="s">
        <v>80</v>
      </c>
      <c r="B62" s="922"/>
      <c r="C62" s="922"/>
      <c r="D62" s="922"/>
      <c r="E62" s="478">
        <f>G62</f>
        <v>3250000</v>
      </c>
      <c r="F62" s="478">
        <v>0</v>
      </c>
      <c r="G62" s="478">
        <f>G63</f>
        <v>3250000</v>
      </c>
      <c r="H62" s="480"/>
      <c r="I62" s="480"/>
      <c r="J62" s="480"/>
      <c r="K62" s="479">
        <f>K63</f>
        <v>1997000</v>
      </c>
      <c r="L62" s="479">
        <f>L63</f>
        <v>1253000</v>
      </c>
      <c r="M62" s="479">
        <f>M63</f>
        <v>0</v>
      </c>
      <c r="N62" s="479">
        <f>N63</f>
        <v>1997000</v>
      </c>
      <c r="O62" s="479">
        <f>M62*100/G62</f>
        <v>0</v>
      </c>
      <c r="P62" s="408"/>
    </row>
    <row r="63" spans="1:17" ht="39" customHeight="1" x14ac:dyDescent="0.2">
      <c r="A63" s="912" t="s">
        <v>584</v>
      </c>
      <c r="B63" s="912"/>
      <c r="C63" s="912"/>
      <c r="D63" s="912"/>
      <c r="E63" s="481">
        <f>G63</f>
        <v>3250000</v>
      </c>
      <c r="F63" s="481">
        <v>0</v>
      </c>
      <c r="G63" s="481">
        <v>3250000</v>
      </c>
      <c r="H63" s="321" t="s">
        <v>860</v>
      </c>
      <c r="I63" s="493"/>
      <c r="J63" s="342" t="s">
        <v>919</v>
      </c>
      <c r="K63" s="191">
        <v>1997000</v>
      </c>
      <c r="L63" s="191">
        <f>G63-K63</f>
        <v>1253000</v>
      </c>
      <c r="M63" s="516"/>
      <c r="N63" s="516">
        <f>E63-M63-L63</f>
        <v>1997000</v>
      </c>
      <c r="O63" s="479">
        <f>M63*100/G63</f>
        <v>0</v>
      </c>
      <c r="P63" s="208"/>
    </row>
    <row r="64" spans="1:17" ht="24.75" customHeight="1" x14ac:dyDescent="0.2">
      <c r="A64" s="919" t="s">
        <v>761</v>
      </c>
      <c r="B64" s="919"/>
      <c r="C64" s="919"/>
      <c r="D64" s="919"/>
      <c r="E64" s="483">
        <f>E65+E67</f>
        <v>1400000</v>
      </c>
      <c r="F64" s="483">
        <f t="shared" ref="F64:G64" si="30">F65+F67</f>
        <v>1400000</v>
      </c>
      <c r="G64" s="483">
        <f t="shared" si="30"/>
        <v>0</v>
      </c>
      <c r="H64" s="484"/>
      <c r="I64" s="484"/>
      <c r="J64" s="484"/>
      <c r="K64" s="485">
        <f>K65+K67</f>
        <v>0</v>
      </c>
      <c r="L64" s="485">
        <f t="shared" ref="L64:N64" si="31">L65+L67</f>
        <v>0</v>
      </c>
      <c r="M64" s="485">
        <f t="shared" si="31"/>
        <v>1204700</v>
      </c>
      <c r="N64" s="485">
        <f t="shared" si="31"/>
        <v>195300</v>
      </c>
      <c r="O64" s="485">
        <f t="shared" ref="O64:O71" si="32">M64*100/E64</f>
        <v>86.05</v>
      </c>
      <c r="P64" s="212"/>
    </row>
    <row r="65" spans="1:17" s="474" customFormat="1" ht="43.5" customHeight="1" x14ac:dyDescent="0.2">
      <c r="A65" s="914" t="s">
        <v>762</v>
      </c>
      <c r="B65" s="914"/>
      <c r="C65" s="914"/>
      <c r="D65" s="914"/>
      <c r="E65" s="486">
        <f>E66</f>
        <v>1200000</v>
      </c>
      <c r="F65" s="486">
        <f t="shared" ref="F65:G65" si="33">F66</f>
        <v>1200000</v>
      </c>
      <c r="G65" s="486">
        <f t="shared" si="33"/>
        <v>0</v>
      </c>
      <c r="H65" s="487"/>
      <c r="I65" s="487"/>
      <c r="J65" s="487"/>
      <c r="K65" s="488">
        <f>K66</f>
        <v>0</v>
      </c>
      <c r="L65" s="488">
        <f t="shared" ref="L65:N65" si="34">L66</f>
        <v>0</v>
      </c>
      <c r="M65" s="488">
        <f t="shared" si="34"/>
        <v>1068900</v>
      </c>
      <c r="N65" s="488">
        <f t="shared" si="34"/>
        <v>131100</v>
      </c>
      <c r="O65" s="488">
        <f t="shared" si="32"/>
        <v>89.075000000000003</v>
      </c>
      <c r="P65" s="216"/>
    </row>
    <row r="66" spans="1:17" ht="43.5" customHeight="1" x14ac:dyDescent="0.2">
      <c r="A66" s="912" t="s">
        <v>763</v>
      </c>
      <c r="B66" s="912"/>
      <c r="C66" s="912"/>
      <c r="D66" s="912"/>
      <c r="E66" s="476">
        <v>1200000</v>
      </c>
      <c r="F66" s="478">
        <v>1200000</v>
      </c>
      <c r="G66" s="478">
        <v>0</v>
      </c>
      <c r="H66" s="321" t="s">
        <v>862</v>
      </c>
      <c r="I66" s="480"/>
      <c r="J66" s="480"/>
      <c r="K66" s="479"/>
      <c r="L66" s="479"/>
      <c r="M66" s="479">
        <f>279400+552000+1500+20000+72000+72000+72000</f>
        <v>1068900</v>
      </c>
      <c r="N66" s="479">
        <f>E66-M66</f>
        <v>131100</v>
      </c>
      <c r="O66" s="479">
        <f t="shared" si="32"/>
        <v>89.075000000000003</v>
      </c>
      <c r="P66" s="208" t="s">
        <v>420</v>
      </c>
    </row>
    <row r="67" spans="1:17" s="474" customFormat="1" ht="47.25" customHeight="1" x14ac:dyDescent="0.2">
      <c r="A67" s="914" t="s">
        <v>858</v>
      </c>
      <c r="B67" s="914"/>
      <c r="C67" s="914"/>
      <c r="D67" s="914"/>
      <c r="E67" s="486">
        <f>E68</f>
        <v>200000</v>
      </c>
      <c r="F67" s="486">
        <f t="shared" ref="F67:G67" si="35">F68</f>
        <v>200000</v>
      </c>
      <c r="G67" s="486">
        <f t="shared" si="35"/>
        <v>0</v>
      </c>
      <c r="H67" s="487"/>
      <c r="I67" s="487"/>
      <c r="J67" s="487"/>
      <c r="K67" s="488">
        <f>K68</f>
        <v>0</v>
      </c>
      <c r="L67" s="488">
        <f t="shared" ref="L67:N67" si="36">L68</f>
        <v>0</v>
      </c>
      <c r="M67" s="488">
        <f t="shared" si="36"/>
        <v>135800</v>
      </c>
      <c r="N67" s="488">
        <f t="shared" si="36"/>
        <v>64200</v>
      </c>
      <c r="O67" s="488">
        <v>100</v>
      </c>
      <c r="P67" s="216"/>
    </row>
    <row r="68" spans="1:17" ht="75" customHeight="1" x14ac:dyDescent="0.2">
      <c r="A68" s="912" t="s">
        <v>859</v>
      </c>
      <c r="B68" s="912"/>
      <c r="C68" s="912"/>
      <c r="D68" s="912"/>
      <c r="E68" s="481">
        <v>200000</v>
      </c>
      <c r="F68" s="481">
        <v>200000</v>
      </c>
      <c r="G68" s="481">
        <v>0</v>
      </c>
      <c r="H68" s="321" t="s">
        <v>353</v>
      </c>
      <c r="I68" s="493"/>
      <c r="J68" s="493"/>
      <c r="K68" s="516"/>
      <c r="L68" s="516"/>
      <c r="M68" s="516">
        <f>83700+700+10800+17700+1800+4800+17500-1200</f>
        <v>135800</v>
      </c>
      <c r="N68" s="516">
        <f>E68-M68</f>
        <v>64200</v>
      </c>
      <c r="O68" s="516">
        <v>100</v>
      </c>
      <c r="P68" s="208" t="s">
        <v>423</v>
      </c>
    </row>
    <row r="69" spans="1:17" ht="42.75" customHeight="1" x14ac:dyDescent="0.2">
      <c r="A69" s="919" t="s">
        <v>922</v>
      </c>
      <c r="B69" s="919"/>
      <c r="C69" s="919"/>
      <c r="D69" s="919"/>
      <c r="E69" s="483">
        <f>E70+E75</f>
        <v>1156000</v>
      </c>
      <c r="F69" s="483">
        <f t="shared" ref="F69:G69" si="37">F70+F75</f>
        <v>1156000</v>
      </c>
      <c r="G69" s="483">
        <f t="shared" si="37"/>
        <v>0</v>
      </c>
      <c r="H69" s="484"/>
      <c r="I69" s="484"/>
      <c r="J69" s="484"/>
      <c r="K69" s="485">
        <f>K70+K75</f>
        <v>0</v>
      </c>
      <c r="L69" s="485">
        <f t="shared" ref="L69:N69" si="38">L70+L75</f>
        <v>0</v>
      </c>
      <c r="M69" s="485">
        <f t="shared" si="38"/>
        <v>987334</v>
      </c>
      <c r="N69" s="485">
        <f t="shared" si="38"/>
        <v>168666</v>
      </c>
      <c r="O69" s="485">
        <f t="shared" si="32"/>
        <v>85.409515570934261</v>
      </c>
      <c r="P69" s="212"/>
    </row>
    <row r="70" spans="1:17" s="474" customFormat="1" ht="48" customHeight="1" x14ac:dyDescent="0.2">
      <c r="A70" s="914" t="s">
        <v>764</v>
      </c>
      <c r="B70" s="914"/>
      <c r="C70" s="914"/>
      <c r="D70" s="914"/>
      <c r="E70" s="486">
        <f>E71</f>
        <v>80000</v>
      </c>
      <c r="F70" s="486">
        <f t="shared" ref="F70:G70" si="39">F71</f>
        <v>80000</v>
      </c>
      <c r="G70" s="486">
        <f t="shared" si="39"/>
        <v>0</v>
      </c>
      <c r="H70" s="487"/>
      <c r="I70" s="487"/>
      <c r="J70" s="487"/>
      <c r="K70" s="488">
        <f>K71</f>
        <v>0</v>
      </c>
      <c r="L70" s="488">
        <f t="shared" ref="L70:N70" si="40">L71</f>
        <v>0</v>
      </c>
      <c r="M70" s="488">
        <f t="shared" si="40"/>
        <v>0</v>
      </c>
      <c r="N70" s="488">
        <f t="shared" si="40"/>
        <v>80000</v>
      </c>
      <c r="O70" s="488">
        <f t="shared" si="32"/>
        <v>0</v>
      </c>
      <c r="P70" s="216"/>
    </row>
    <row r="71" spans="1:17" ht="37.5" x14ac:dyDescent="0.2">
      <c r="A71" s="915" t="s">
        <v>765</v>
      </c>
      <c r="B71" s="915"/>
      <c r="C71" s="915"/>
      <c r="D71" s="915"/>
      <c r="E71" s="476">
        <f>E72+E73+E74</f>
        <v>80000</v>
      </c>
      <c r="F71" s="481">
        <f>F72+F74</f>
        <v>80000</v>
      </c>
      <c r="G71" s="478">
        <f>G73</f>
        <v>0</v>
      </c>
      <c r="H71" s="480"/>
      <c r="I71" s="480"/>
      <c r="J71" s="480"/>
      <c r="K71" s="489">
        <f>K72+K73+K74</f>
        <v>0</v>
      </c>
      <c r="L71" s="489">
        <f t="shared" ref="L71:N71" si="41">L72+L73+L74</f>
        <v>0</v>
      </c>
      <c r="M71" s="489">
        <f t="shared" si="41"/>
        <v>0</v>
      </c>
      <c r="N71" s="489">
        <f t="shared" si="41"/>
        <v>80000</v>
      </c>
      <c r="O71" s="479">
        <f t="shared" si="32"/>
        <v>0</v>
      </c>
      <c r="P71" s="208" t="s">
        <v>420</v>
      </c>
    </row>
    <row r="72" spans="1:17" ht="28.5" customHeight="1" x14ac:dyDescent="0.2">
      <c r="A72" s="912" t="s">
        <v>766</v>
      </c>
      <c r="B72" s="912"/>
      <c r="C72" s="912"/>
      <c r="D72" s="912"/>
      <c r="E72" s="476">
        <f>F72</f>
        <v>0</v>
      </c>
      <c r="F72" s="490">
        <f>1089300-1089300</f>
        <v>0</v>
      </c>
      <c r="G72" s="490">
        <v>0</v>
      </c>
      <c r="H72" s="532" t="s">
        <v>637</v>
      </c>
      <c r="I72" s="491"/>
      <c r="J72" s="491"/>
      <c r="K72" s="492"/>
      <c r="L72" s="492"/>
      <c r="M72" s="492"/>
      <c r="N72" s="489">
        <v>0</v>
      </c>
      <c r="O72" s="479">
        <v>0</v>
      </c>
      <c r="P72" s="208"/>
      <c r="Q72" s="473">
        <f>E72</f>
        <v>0</v>
      </c>
    </row>
    <row r="73" spans="1:17" ht="48.75" customHeight="1" x14ac:dyDescent="0.2">
      <c r="A73" s="912" t="s">
        <v>950</v>
      </c>
      <c r="B73" s="912"/>
      <c r="C73" s="912"/>
      <c r="D73" s="912"/>
      <c r="E73" s="476">
        <f>G73</f>
        <v>0</v>
      </c>
      <c r="F73" s="476">
        <v>0</v>
      </c>
      <c r="G73" s="476">
        <f>14776000-14776000</f>
        <v>0</v>
      </c>
      <c r="H73" s="532" t="s">
        <v>637</v>
      </c>
      <c r="I73" s="477"/>
      <c r="J73" s="477"/>
      <c r="K73" s="489"/>
      <c r="L73" s="489"/>
      <c r="M73" s="489"/>
      <c r="N73" s="489">
        <v>0</v>
      </c>
      <c r="O73" s="489">
        <v>0</v>
      </c>
      <c r="P73" s="208"/>
      <c r="Q73" s="473">
        <f>E73</f>
        <v>0</v>
      </c>
    </row>
    <row r="74" spans="1:17" ht="38.25" customHeight="1" x14ac:dyDescent="0.2">
      <c r="A74" s="912" t="s">
        <v>767</v>
      </c>
      <c r="B74" s="912"/>
      <c r="C74" s="912"/>
      <c r="D74" s="912"/>
      <c r="E74" s="476">
        <v>80000</v>
      </c>
      <c r="F74" s="476">
        <v>80000</v>
      </c>
      <c r="G74" s="476">
        <v>0</v>
      </c>
      <c r="H74" s="321" t="s">
        <v>862</v>
      </c>
      <c r="I74" s="477"/>
      <c r="J74" s="477"/>
      <c r="K74" s="489"/>
      <c r="L74" s="489"/>
      <c r="M74" s="489"/>
      <c r="N74" s="489">
        <f>E74-M74</f>
        <v>80000</v>
      </c>
      <c r="O74" s="489">
        <f t="shared" ref="O74:O93" si="42">M74*100/E74</f>
        <v>0</v>
      </c>
      <c r="P74" s="208"/>
    </row>
    <row r="75" spans="1:17" s="474" customFormat="1" ht="45" customHeight="1" x14ac:dyDescent="0.2">
      <c r="A75" s="914" t="s">
        <v>768</v>
      </c>
      <c r="B75" s="914"/>
      <c r="C75" s="914"/>
      <c r="D75" s="914"/>
      <c r="E75" s="486">
        <f>E76</f>
        <v>1076000</v>
      </c>
      <c r="F75" s="486">
        <f t="shared" ref="F75:G75" si="43">F76</f>
        <v>1076000</v>
      </c>
      <c r="G75" s="486">
        <f t="shared" si="43"/>
        <v>0</v>
      </c>
      <c r="H75" s="487"/>
      <c r="I75" s="487"/>
      <c r="J75" s="487"/>
      <c r="K75" s="488">
        <f>K76</f>
        <v>0</v>
      </c>
      <c r="L75" s="488">
        <f t="shared" ref="L75:N75" si="44">L76</f>
        <v>0</v>
      </c>
      <c r="M75" s="488">
        <f t="shared" si="44"/>
        <v>987334</v>
      </c>
      <c r="N75" s="488">
        <f t="shared" si="44"/>
        <v>88666</v>
      </c>
      <c r="O75" s="488">
        <f t="shared" si="42"/>
        <v>91.75966542750929</v>
      </c>
      <c r="P75" s="216"/>
    </row>
    <row r="76" spans="1:17" ht="55.5" customHeight="1" x14ac:dyDescent="0.2">
      <c r="A76" s="913" t="s">
        <v>769</v>
      </c>
      <c r="B76" s="913"/>
      <c r="C76" s="913"/>
      <c r="D76" s="913"/>
      <c r="E76" s="476">
        <v>1076000</v>
      </c>
      <c r="F76" s="481">
        <v>1076000</v>
      </c>
      <c r="G76" s="478">
        <v>0</v>
      </c>
      <c r="H76" s="321" t="s">
        <v>862</v>
      </c>
      <c r="I76" s="321" t="s">
        <v>949</v>
      </c>
      <c r="J76" s="342" t="s">
        <v>948</v>
      </c>
      <c r="K76" s="516"/>
      <c r="L76" s="479"/>
      <c r="M76" s="516">
        <f>417200+8800+9734+15400+56200+240000+240000</f>
        <v>987334</v>
      </c>
      <c r="N76" s="516">
        <f>F76-M76</f>
        <v>88666</v>
      </c>
      <c r="O76" s="517">
        <f t="shared" si="42"/>
        <v>91.75966542750929</v>
      </c>
      <c r="P76" s="208" t="s">
        <v>431</v>
      </c>
    </row>
    <row r="77" spans="1:17" ht="27" customHeight="1" x14ac:dyDescent="0.2">
      <c r="A77" s="916" t="s">
        <v>770</v>
      </c>
      <c r="B77" s="916"/>
      <c r="C77" s="916"/>
      <c r="D77" s="916"/>
      <c r="E77" s="483">
        <f>E78+E81</f>
        <v>20100000</v>
      </c>
      <c r="F77" s="483">
        <f t="shared" ref="F77:G77" si="45">F78+F81</f>
        <v>20100000</v>
      </c>
      <c r="G77" s="483">
        <f t="shared" si="45"/>
        <v>0</v>
      </c>
      <c r="H77" s="484"/>
      <c r="I77" s="484"/>
      <c r="J77" s="484"/>
      <c r="K77" s="485">
        <f>K78+K81</f>
        <v>0</v>
      </c>
      <c r="L77" s="485">
        <f t="shared" ref="L77:N77" si="46">L78+L81</f>
        <v>0</v>
      </c>
      <c r="M77" s="485">
        <f t="shared" si="46"/>
        <v>9470700</v>
      </c>
      <c r="N77" s="485">
        <f t="shared" si="46"/>
        <v>10629300</v>
      </c>
      <c r="O77" s="485">
        <f t="shared" si="42"/>
        <v>47.117910447761197</v>
      </c>
      <c r="P77" s="212"/>
    </row>
    <row r="78" spans="1:17" s="474" customFormat="1" ht="47.25" customHeight="1" x14ac:dyDescent="0.2">
      <c r="A78" s="914" t="s">
        <v>906</v>
      </c>
      <c r="B78" s="914"/>
      <c r="C78" s="914"/>
      <c r="D78" s="914"/>
      <c r="E78" s="486">
        <f>E79+E80</f>
        <v>18000000</v>
      </c>
      <c r="F78" s="486">
        <f t="shared" ref="F78:G78" si="47">F79+F80</f>
        <v>18000000</v>
      </c>
      <c r="G78" s="486">
        <f t="shared" si="47"/>
        <v>0</v>
      </c>
      <c r="H78" s="487"/>
      <c r="I78" s="487"/>
      <c r="J78" s="487"/>
      <c r="K78" s="488">
        <f>K79+K80</f>
        <v>0</v>
      </c>
      <c r="L78" s="488">
        <f t="shared" ref="L78:N78" si="48">L79+L80</f>
        <v>0</v>
      </c>
      <c r="M78" s="488">
        <f t="shared" si="48"/>
        <v>7820700</v>
      </c>
      <c r="N78" s="488">
        <f t="shared" si="48"/>
        <v>10179300</v>
      </c>
      <c r="O78" s="488">
        <f t="shared" si="42"/>
        <v>43.448333333333331</v>
      </c>
      <c r="P78" s="216"/>
    </row>
    <row r="79" spans="1:17" ht="37.5" x14ac:dyDescent="0.2">
      <c r="A79" s="915" t="s">
        <v>771</v>
      </c>
      <c r="B79" s="915"/>
      <c r="C79" s="915"/>
      <c r="D79" s="915"/>
      <c r="E79" s="481">
        <v>10000000</v>
      </c>
      <c r="F79" s="481">
        <v>10000000</v>
      </c>
      <c r="G79" s="481">
        <v>0</v>
      </c>
      <c r="H79" s="321" t="s">
        <v>862</v>
      </c>
      <c r="I79" s="493"/>
      <c r="J79" s="493"/>
      <c r="K79" s="516"/>
      <c r="L79" s="516"/>
      <c r="M79" s="516">
        <f>700+4550000</f>
        <v>4550700</v>
      </c>
      <c r="N79" s="516">
        <f>E79-M79</f>
        <v>5449300</v>
      </c>
      <c r="O79" s="516">
        <f t="shared" si="42"/>
        <v>45.506999999999998</v>
      </c>
      <c r="P79" s="208" t="s">
        <v>435</v>
      </c>
    </row>
    <row r="80" spans="1:17" ht="37.5" x14ac:dyDescent="0.2">
      <c r="A80" s="915" t="s">
        <v>772</v>
      </c>
      <c r="B80" s="915"/>
      <c r="C80" s="915"/>
      <c r="D80" s="915"/>
      <c r="E80" s="481">
        <v>8000000</v>
      </c>
      <c r="F80" s="481">
        <v>8000000</v>
      </c>
      <c r="G80" s="481">
        <v>0</v>
      </c>
      <c r="H80" s="321" t="s">
        <v>862</v>
      </c>
      <c r="I80" s="493"/>
      <c r="J80" s="493"/>
      <c r="K80" s="516"/>
      <c r="L80" s="516"/>
      <c r="M80" s="516">
        <f>780000+2490000</f>
        <v>3270000</v>
      </c>
      <c r="N80" s="516">
        <f>E80-M80</f>
        <v>4730000</v>
      </c>
      <c r="O80" s="516">
        <f t="shared" si="42"/>
        <v>40.875</v>
      </c>
      <c r="P80" s="208" t="s">
        <v>435</v>
      </c>
    </row>
    <row r="81" spans="1:17" s="474" customFormat="1" ht="26.25" customHeight="1" x14ac:dyDescent="0.2">
      <c r="A81" s="914" t="s">
        <v>905</v>
      </c>
      <c r="B81" s="914"/>
      <c r="C81" s="914"/>
      <c r="D81" s="914"/>
      <c r="E81" s="486">
        <f>E82+E83</f>
        <v>2100000</v>
      </c>
      <c r="F81" s="486">
        <f t="shared" ref="F81:G81" si="49">F82+F83</f>
        <v>2100000</v>
      </c>
      <c r="G81" s="486">
        <f t="shared" si="49"/>
        <v>0</v>
      </c>
      <c r="H81" s="487"/>
      <c r="I81" s="487"/>
      <c r="J81" s="487"/>
      <c r="K81" s="488">
        <f>K82+K83</f>
        <v>0</v>
      </c>
      <c r="L81" s="488">
        <f t="shared" ref="L81:N81" si="50">L82+L83</f>
        <v>0</v>
      </c>
      <c r="M81" s="488">
        <f t="shared" si="50"/>
        <v>1650000</v>
      </c>
      <c r="N81" s="488">
        <f t="shared" si="50"/>
        <v>450000</v>
      </c>
      <c r="O81" s="488">
        <f t="shared" si="42"/>
        <v>78.571428571428569</v>
      </c>
      <c r="P81" s="216"/>
    </row>
    <row r="82" spans="1:17" ht="43.5" customHeight="1" x14ac:dyDescent="0.2">
      <c r="A82" s="912" t="s">
        <v>773</v>
      </c>
      <c r="B82" s="912"/>
      <c r="C82" s="912"/>
      <c r="D82" s="912"/>
      <c r="E82" s="481">
        <v>2000000</v>
      </c>
      <c r="F82" s="481">
        <v>2000000</v>
      </c>
      <c r="G82" s="481">
        <v>0</v>
      </c>
      <c r="H82" s="321" t="s">
        <v>862</v>
      </c>
      <c r="I82" s="493"/>
      <c r="J82" s="493"/>
      <c r="K82" s="516"/>
      <c r="L82" s="516"/>
      <c r="M82" s="516">
        <v>1650000</v>
      </c>
      <c r="N82" s="516">
        <f>E82-M82</f>
        <v>350000</v>
      </c>
      <c r="O82" s="516">
        <f t="shared" si="42"/>
        <v>82.5</v>
      </c>
      <c r="P82" s="208" t="s">
        <v>435</v>
      </c>
    </row>
    <row r="83" spans="1:17" ht="42.75" customHeight="1" x14ac:dyDescent="0.2">
      <c r="A83" s="563" t="s">
        <v>774</v>
      </c>
      <c r="B83" s="563"/>
      <c r="C83" s="563"/>
      <c r="D83" s="563"/>
      <c r="E83" s="481">
        <v>100000</v>
      </c>
      <c r="F83" s="481">
        <v>100000</v>
      </c>
      <c r="G83" s="481">
        <v>0</v>
      </c>
      <c r="H83" s="321" t="s">
        <v>862</v>
      </c>
      <c r="I83" s="493"/>
      <c r="J83" s="493"/>
      <c r="K83" s="516"/>
      <c r="L83" s="516"/>
      <c r="M83" s="516"/>
      <c r="N83" s="516">
        <f>E83-M83</f>
        <v>100000</v>
      </c>
      <c r="O83" s="516">
        <f t="shared" si="42"/>
        <v>0</v>
      </c>
      <c r="P83" s="208" t="s">
        <v>435</v>
      </c>
    </row>
    <row r="84" spans="1:17" ht="28.5" customHeight="1" x14ac:dyDescent="0.2">
      <c r="A84" s="919" t="s">
        <v>775</v>
      </c>
      <c r="B84" s="919"/>
      <c r="C84" s="919"/>
      <c r="D84" s="919"/>
      <c r="E84" s="483">
        <f>E85+E122</f>
        <v>4329600</v>
      </c>
      <c r="F84" s="483">
        <f t="shared" ref="F84:G84" si="51">F85+F122</f>
        <v>2626000</v>
      </c>
      <c r="G84" s="483">
        <f t="shared" si="51"/>
        <v>1703600</v>
      </c>
      <c r="H84" s="484"/>
      <c r="I84" s="484"/>
      <c r="J84" s="484"/>
      <c r="K84" s="485">
        <f>K85+K122</f>
        <v>1432300</v>
      </c>
      <c r="L84" s="485">
        <f t="shared" ref="L84:N84" si="52">L85+L122</f>
        <v>382130</v>
      </c>
      <c r="M84" s="485">
        <f t="shared" si="52"/>
        <v>2321470</v>
      </c>
      <c r="N84" s="485">
        <f t="shared" si="52"/>
        <v>1626000</v>
      </c>
      <c r="O84" s="485">
        <f t="shared" si="42"/>
        <v>53.618579083518107</v>
      </c>
      <c r="P84" s="212"/>
    </row>
    <row r="85" spans="1:17" s="474" customFormat="1" ht="26.25" customHeight="1" x14ac:dyDescent="0.2">
      <c r="A85" s="914" t="s">
        <v>776</v>
      </c>
      <c r="B85" s="914"/>
      <c r="C85" s="914"/>
      <c r="D85" s="914"/>
      <c r="E85" s="486">
        <f t="shared" ref="E85:G85" si="53">E86+E91</f>
        <v>3329600</v>
      </c>
      <c r="F85" s="486">
        <f t="shared" si="53"/>
        <v>1626000</v>
      </c>
      <c r="G85" s="486">
        <f t="shared" si="53"/>
        <v>1703600</v>
      </c>
      <c r="H85" s="487"/>
      <c r="I85" s="487"/>
      <c r="J85" s="487"/>
      <c r="K85" s="488">
        <f t="shared" ref="K85:N85" si="54">K86+K91</f>
        <v>1432300</v>
      </c>
      <c r="L85" s="488">
        <f t="shared" si="54"/>
        <v>271300</v>
      </c>
      <c r="M85" s="488">
        <f t="shared" si="54"/>
        <v>1432300</v>
      </c>
      <c r="N85" s="488">
        <f t="shared" si="54"/>
        <v>1626000</v>
      </c>
      <c r="O85" s="488">
        <f t="shared" si="42"/>
        <v>43.017179240749641</v>
      </c>
      <c r="P85" s="216"/>
    </row>
    <row r="86" spans="1:17" s="474" customFormat="1" ht="37.5" x14ac:dyDescent="0.2">
      <c r="A86" s="564" t="s">
        <v>777</v>
      </c>
      <c r="B86" s="564"/>
      <c r="C86" s="564"/>
      <c r="D86" s="564"/>
      <c r="E86" s="478">
        <f>F86+G86</f>
        <v>1626000</v>
      </c>
      <c r="F86" s="478">
        <f>F87</f>
        <v>1626000</v>
      </c>
      <c r="G86" s="478">
        <f>G88</f>
        <v>0</v>
      </c>
      <c r="H86" s="480"/>
      <c r="I86" s="480"/>
      <c r="J86" s="480"/>
      <c r="K86" s="479">
        <f>K87+K88</f>
        <v>0</v>
      </c>
      <c r="L86" s="479">
        <f t="shared" ref="L86:N86" si="55">L87+L88</f>
        <v>0</v>
      </c>
      <c r="M86" s="479">
        <f t="shared" si="55"/>
        <v>0</v>
      </c>
      <c r="N86" s="479">
        <f t="shared" si="55"/>
        <v>1626000</v>
      </c>
      <c r="O86" s="479">
        <f t="shared" si="42"/>
        <v>0</v>
      </c>
      <c r="P86" s="408" t="s">
        <v>420</v>
      </c>
    </row>
    <row r="87" spans="1:17" s="474" customFormat="1" ht="39" customHeight="1" x14ac:dyDescent="0.2">
      <c r="A87" s="564" t="s">
        <v>81</v>
      </c>
      <c r="B87" s="564"/>
      <c r="C87" s="564"/>
      <c r="D87" s="564"/>
      <c r="E87" s="478">
        <f>F87</f>
        <v>1626000</v>
      </c>
      <c r="F87" s="478">
        <v>1626000</v>
      </c>
      <c r="G87" s="478">
        <v>0</v>
      </c>
      <c r="H87" s="321" t="s">
        <v>862</v>
      </c>
      <c r="I87" s="480"/>
      <c r="J87" s="480"/>
      <c r="K87" s="479">
        <f>L87</f>
        <v>0</v>
      </c>
      <c r="L87" s="479">
        <f t="shared" ref="L87" si="56">M87</f>
        <v>0</v>
      </c>
      <c r="M87" s="479">
        <v>0</v>
      </c>
      <c r="N87" s="479">
        <f>E87-M87</f>
        <v>1626000</v>
      </c>
      <c r="O87" s="479">
        <f t="shared" si="42"/>
        <v>0</v>
      </c>
      <c r="P87" s="408"/>
    </row>
    <row r="88" spans="1:17" s="474" customFormat="1" ht="27.75" customHeight="1" x14ac:dyDescent="0.2">
      <c r="A88" s="564" t="s">
        <v>80</v>
      </c>
      <c r="B88" s="564"/>
      <c r="C88" s="564"/>
      <c r="D88" s="564"/>
      <c r="E88" s="478">
        <f>G88</f>
        <v>0</v>
      </c>
      <c r="F88" s="478">
        <v>0</v>
      </c>
      <c r="G88" s="478">
        <f>G89+G90</f>
        <v>0</v>
      </c>
      <c r="H88" s="480"/>
      <c r="I88" s="480"/>
      <c r="J88" s="480"/>
      <c r="K88" s="479">
        <f>K89+K90</f>
        <v>0</v>
      </c>
      <c r="L88" s="479">
        <f t="shared" ref="L88:N88" si="57">L89+L90</f>
        <v>0</v>
      </c>
      <c r="M88" s="479">
        <f t="shared" si="57"/>
        <v>0</v>
      </c>
      <c r="N88" s="479">
        <f t="shared" si="57"/>
        <v>0</v>
      </c>
      <c r="O88" s="479">
        <v>0</v>
      </c>
      <c r="P88" s="408"/>
    </row>
    <row r="89" spans="1:17" ht="28.5" customHeight="1" x14ac:dyDescent="0.2">
      <c r="A89" s="915" t="s">
        <v>590</v>
      </c>
      <c r="B89" s="915"/>
      <c r="C89" s="915"/>
      <c r="D89" s="915"/>
      <c r="E89" s="481">
        <f>G89</f>
        <v>0</v>
      </c>
      <c r="F89" s="478">
        <v>0</v>
      </c>
      <c r="G89" s="478">
        <f>3600000-3600000</f>
        <v>0</v>
      </c>
      <c r="H89" s="532" t="s">
        <v>637</v>
      </c>
      <c r="I89" s="480"/>
      <c r="J89" s="480"/>
      <c r="K89" s="479"/>
      <c r="L89" s="479"/>
      <c r="M89" s="479"/>
      <c r="N89" s="516">
        <v>0</v>
      </c>
      <c r="O89" s="479">
        <v>0</v>
      </c>
      <c r="P89" s="208"/>
      <c r="Q89" s="473">
        <f>E89</f>
        <v>0</v>
      </c>
    </row>
    <row r="90" spans="1:17" ht="27" customHeight="1" x14ac:dyDescent="0.2">
      <c r="A90" s="915" t="s">
        <v>613</v>
      </c>
      <c r="B90" s="915"/>
      <c r="C90" s="915"/>
      <c r="D90" s="915"/>
      <c r="E90" s="481">
        <f>G90</f>
        <v>0</v>
      </c>
      <c r="F90" s="478">
        <v>0</v>
      </c>
      <c r="G90" s="478">
        <f>3900000-3900000</f>
        <v>0</v>
      </c>
      <c r="H90" s="532" t="s">
        <v>637</v>
      </c>
      <c r="I90" s="480"/>
      <c r="J90" s="480"/>
      <c r="K90" s="479"/>
      <c r="L90" s="479"/>
      <c r="M90" s="479"/>
      <c r="N90" s="516">
        <v>0</v>
      </c>
      <c r="O90" s="479">
        <v>0</v>
      </c>
      <c r="P90" s="208"/>
      <c r="Q90" s="473">
        <f>E90</f>
        <v>0</v>
      </c>
    </row>
    <row r="91" spans="1:17" s="474" customFormat="1" ht="37.5" x14ac:dyDescent="0.2">
      <c r="A91" s="922" t="s">
        <v>778</v>
      </c>
      <c r="B91" s="922"/>
      <c r="C91" s="922"/>
      <c r="D91" s="922"/>
      <c r="E91" s="478">
        <v>1703600</v>
      </c>
      <c r="F91" s="478">
        <v>0</v>
      </c>
      <c r="G91" s="478">
        <f>G92</f>
        <v>1703600</v>
      </c>
      <c r="H91" s="480"/>
      <c r="I91" s="480"/>
      <c r="J91" s="480"/>
      <c r="K91" s="479">
        <f>K92</f>
        <v>1432300</v>
      </c>
      <c r="L91" s="479">
        <f t="shared" ref="L91:N91" si="58">L92</f>
        <v>271300</v>
      </c>
      <c r="M91" s="479">
        <f t="shared" si="58"/>
        <v>1432300</v>
      </c>
      <c r="N91" s="479">
        <f t="shared" si="58"/>
        <v>0</v>
      </c>
      <c r="O91" s="479">
        <v>100</v>
      </c>
      <c r="P91" s="408" t="s">
        <v>444</v>
      </c>
    </row>
    <row r="92" spans="1:17" s="743" customFormat="1" ht="24" customHeight="1" x14ac:dyDescent="0.2">
      <c r="A92" s="924" t="s">
        <v>80</v>
      </c>
      <c r="B92" s="924"/>
      <c r="C92" s="924"/>
      <c r="D92" s="924"/>
      <c r="E92" s="735">
        <f>G92</f>
        <v>1703600</v>
      </c>
      <c r="F92" s="735">
        <v>0</v>
      </c>
      <c r="G92" s="735">
        <f>SUM(G93:G121)</f>
        <v>1703600</v>
      </c>
      <c r="H92" s="744"/>
      <c r="I92" s="744"/>
      <c r="J92" s="744"/>
      <c r="K92" s="734">
        <f>SUM(K93:K121)</f>
        <v>1432300</v>
      </c>
      <c r="L92" s="734">
        <f t="shared" ref="L92:N92" si="59">SUM(L93:L121)</f>
        <v>271300</v>
      </c>
      <c r="M92" s="734">
        <f t="shared" si="59"/>
        <v>1432300</v>
      </c>
      <c r="N92" s="734">
        <f t="shared" si="59"/>
        <v>0</v>
      </c>
      <c r="O92" s="734">
        <v>100</v>
      </c>
      <c r="P92" s="742"/>
    </row>
    <row r="93" spans="1:17" ht="43.5" customHeight="1" x14ac:dyDescent="0.2">
      <c r="A93" s="912" t="s">
        <v>591</v>
      </c>
      <c r="B93" s="912"/>
      <c r="C93" s="912"/>
      <c r="D93" s="912"/>
      <c r="E93" s="481">
        <f>G93</f>
        <v>40000</v>
      </c>
      <c r="F93" s="481">
        <v>0</v>
      </c>
      <c r="G93" s="481">
        <v>40000</v>
      </c>
      <c r="H93" s="323" t="s">
        <v>353</v>
      </c>
      <c r="I93" s="323" t="s">
        <v>692</v>
      </c>
      <c r="J93" s="365" t="s">
        <v>628</v>
      </c>
      <c r="K93" s="516">
        <v>40000</v>
      </c>
      <c r="L93" s="516">
        <f>E93-K93</f>
        <v>0</v>
      </c>
      <c r="M93" s="517">
        <v>40000</v>
      </c>
      <c r="N93" s="516">
        <f>E93-M93-L93</f>
        <v>0</v>
      </c>
      <c r="O93" s="516">
        <f t="shared" si="42"/>
        <v>100</v>
      </c>
      <c r="P93" s="208"/>
    </row>
    <row r="94" spans="1:17" ht="40.5" customHeight="1" x14ac:dyDescent="0.2">
      <c r="A94" s="912" t="s">
        <v>592</v>
      </c>
      <c r="B94" s="912"/>
      <c r="C94" s="912"/>
      <c r="D94" s="912"/>
      <c r="E94" s="481">
        <f t="shared" ref="E94:E121" si="60">G94</f>
        <v>30000</v>
      </c>
      <c r="F94" s="481">
        <v>0</v>
      </c>
      <c r="G94" s="481">
        <v>30000</v>
      </c>
      <c r="H94" s="323" t="s">
        <v>353</v>
      </c>
      <c r="I94" s="323" t="s">
        <v>692</v>
      </c>
      <c r="J94" s="365" t="s">
        <v>628</v>
      </c>
      <c r="K94" s="516">
        <v>30000</v>
      </c>
      <c r="L94" s="516">
        <f t="shared" ref="L94:L121" si="61">E94-K94</f>
        <v>0</v>
      </c>
      <c r="M94" s="517">
        <v>30000</v>
      </c>
      <c r="N94" s="516">
        <f t="shared" ref="N94:N121" si="62">E94-M94-L94</f>
        <v>0</v>
      </c>
      <c r="O94" s="516">
        <f t="shared" ref="O94:O120" si="63">M94*100/E94</f>
        <v>100</v>
      </c>
      <c r="P94" s="208"/>
    </row>
    <row r="95" spans="1:17" ht="45.75" customHeight="1" x14ac:dyDescent="0.2">
      <c r="A95" s="912" t="s">
        <v>924</v>
      </c>
      <c r="B95" s="912"/>
      <c r="C95" s="912"/>
      <c r="D95" s="912"/>
      <c r="E95" s="481">
        <f t="shared" si="60"/>
        <v>10000</v>
      </c>
      <c r="F95" s="481">
        <v>0</v>
      </c>
      <c r="G95" s="481">
        <v>10000</v>
      </c>
      <c r="H95" s="323" t="s">
        <v>353</v>
      </c>
      <c r="I95" s="321" t="s">
        <v>688</v>
      </c>
      <c r="J95" s="365" t="s">
        <v>628</v>
      </c>
      <c r="K95" s="516">
        <v>10000</v>
      </c>
      <c r="L95" s="516">
        <f t="shared" si="61"/>
        <v>0</v>
      </c>
      <c r="M95" s="517">
        <v>10000</v>
      </c>
      <c r="N95" s="516">
        <f t="shared" si="62"/>
        <v>0</v>
      </c>
      <c r="O95" s="516">
        <f t="shared" si="63"/>
        <v>100</v>
      </c>
      <c r="P95" s="208"/>
    </row>
    <row r="96" spans="1:17" ht="47.25" customHeight="1" x14ac:dyDescent="0.2">
      <c r="A96" s="912" t="s">
        <v>923</v>
      </c>
      <c r="B96" s="912"/>
      <c r="C96" s="912"/>
      <c r="D96" s="912"/>
      <c r="E96" s="481">
        <f t="shared" si="60"/>
        <v>20600</v>
      </c>
      <c r="F96" s="481">
        <v>0</v>
      </c>
      <c r="G96" s="481">
        <v>20600</v>
      </c>
      <c r="H96" s="323" t="s">
        <v>353</v>
      </c>
      <c r="I96" s="323" t="s">
        <v>692</v>
      </c>
      <c r="J96" s="365" t="s">
        <v>628</v>
      </c>
      <c r="K96" s="516">
        <v>20400</v>
      </c>
      <c r="L96" s="516">
        <f t="shared" si="61"/>
        <v>200</v>
      </c>
      <c r="M96" s="517">
        <v>20400</v>
      </c>
      <c r="N96" s="516">
        <f t="shared" si="62"/>
        <v>0</v>
      </c>
      <c r="O96" s="516">
        <v>100</v>
      </c>
      <c r="P96" s="208"/>
    </row>
    <row r="97" spans="1:16" ht="45.75" customHeight="1" x14ac:dyDescent="0.2">
      <c r="A97" s="912" t="s">
        <v>595</v>
      </c>
      <c r="B97" s="912"/>
      <c r="C97" s="912"/>
      <c r="D97" s="912"/>
      <c r="E97" s="481">
        <f t="shared" si="60"/>
        <v>18000</v>
      </c>
      <c r="F97" s="481">
        <v>0</v>
      </c>
      <c r="G97" s="481">
        <v>18000</v>
      </c>
      <c r="H97" s="323" t="s">
        <v>353</v>
      </c>
      <c r="I97" s="323" t="s">
        <v>692</v>
      </c>
      <c r="J97" s="365" t="s">
        <v>628</v>
      </c>
      <c r="K97" s="516">
        <v>18000</v>
      </c>
      <c r="L97" s="516">
        <f t="shared" si="61"/>
        <v>0</v>
      </c>
      <c r="M97" s="517">
        <v>18000</v>
      </c>
      <c r="N97" s="516">
        <f t="shared" si="62"/>
        <v>0</v>
      </c>
      <c r="O97" s="516">
        <f t="shared" si="63"/>
        <v>100</v>
      </c>
      <c r="P97" s="208"/>
    </row>
    <row r="98" spans="1:16" ht="45" customHeight="1" x14ac:dyDescent="0.2">
      <c r="A98" s="912" t="s">
        <v>596</v>
      </c>
      <c r="B98" s="912"/>
      <c r="C98" s="912"/>
      <c r="D98" s="912"/>
      <c r="E98" s="481">
        <f t="shared" si="60"/>
        <v>16000</v>
      </c>
      <c r="F98" s="481">
        <v>0</v>
      </c>
      <c r="G98" s="481">
        <v>16000</v>
      </c>
      <c r="H98" s="323" t="s">
        <v>353</v>
      </c>
      <c r="I98" s="321" t="s">
        <v>688</v>
      </c>
      <c r="J98" s="365" t="s">
        <v>628</v>
      </c>
      <c r="K98" s="516">
        <v>16000</v>
      </c>
      <c r="L98" s="516">
        <f t="shared" si="61"/>
        <v>0</v>
      </c>
      <c r="M98" s="517">
        <v>16000</v>
      </c>
      <c r="N98" s="516">
        <f t="shared" si="62"/>
        <v>0</v>
      </c>
      <c r="O98" s="516">
        <f t="shared" si="63"/>
        <v>100</v>
      </c>
      <c r="P98" s="208"/>
    </row>
    <row r="99" spans="1:16" ht="44.25" customHeight="1" x14ac:dyDescent="0.2">
      <c r="A99" s="912" t="s">
        <v>597</v>
      </c>
      <c r="B99" s="912"/>
      <c r="C99" s="912"/>
      <c r="D99" s="912"/>
      <c r="E99" s="481">
        <f t="shared" si="60"/>
        <v>24000</v>
      </c>
      <c r="F99" s="481">
        <v>0</v>
      </c>
      <c r="G99" s="481">
        <v>24000</v>
      </c>
      <c r="H99" s="323" t="s">
        <v>353</v>
      </c>
      <c r="I99" s="321" t="s">
        <v>688</v>
      </c>
      <c r="J99" s="365" t="s">
        <v>628</v>
      </c>
      <c r="K99" s="516">
        <v>24000</v>
      </c>
      <c r="L99" s="516">
        <f t="shared" si="61"/>
        <v>0</v>
      </c>
      <c r="M99" s="517">
        <v>24000</v>
      </c>
      <c r="N99" s="516">
        <f t="shared" si="62"/>
        <v>0</v>
      </c>
      <c r="O99" s="516">
        <f t="shared" si="63"/>
        <v>100</v>
      </c>
      <c r="P99" s="208"/>
    </row>
    <row r="100" spans="1:16" ht="48" customHeight="1" x14ac:dyDescent="0.2">
      <c r="A100" s="912" t="s">
        <v>925</v>
      </c>
      <c r="B100" s="912"/>
      <c r="C100" s="912"/>
      <c r="D100" s="912"/>
      <c r="E100" s="481">
        <f t="shared" si="60"/>
        <v>40000</v>
      </c>
      <c r="F100" s="481">
        <v>0</v>
      </c>
      <c r="G100" s="481">
        <v>40000</v>
      </c>
      <c r="H100" s="323" t="s">
        <v>353</v>
      </c>
      <c r="I100" s="321" t="s">
        <v>688</v>
      </c>
      <c r="J100" s="365" t="s">
        <v>628</v>
      </c>
      <c r="K100" s="516">
        <v>40000</v>
      </c>
      <c r="L100" s="516">
        <f t="shared" si="61"/>
        <v>0</v>
      </c>
      <c r="M100" s="517">
        <v>40000</v>
      </c>
      <c r="N100" s="516">
        <f t="shared" si="62"/>
        <v>0</v>
      </c>
      <c r="O100" s="516">
        <f t="shared" si="63"/>
        <v>100</v>
      </c>
      <c r="P100" s="208"/>
    </row>
    <row r="101" spans="1:16" ht="43.5" customHeight="1" x14ac:dyDescent="0.2">
      <c r="A101" s="912" t="s">
        <v>599</v>
      </c>
      <c r="B101" s="912"/>
      <c r="C101" s="912"/>
      <c r="D101" s="912"/>
      <c r="E101" s="481">
        <f t="shared" si="60"/>
        <v>90000</v>
      </c>
      <c r="F101" s="481">
        <v>0</v>
      </c>
      <c r="G101" s="481">
        <v>90000</v>
      </c>
      <c r="H101" s="323" t="s">
        <v>353</v>
      </c>
      <c r="I101" s="321" t="s">
        <v>688</v>
      </c>
      <c r="J101" s="365" t="s">
        <v>628</v>
      </c>
      <c r="K101" s="516">
        <v>90000</v>
      </c>
      <c r="L101" s="516">
        <f t="shared" si="61"/>
        <v>0</v>
      </c>
      <c r="M101" s="517">
        <v>90000</v>
      </c>
      <c r="N101" s="516">
        <f t="shared" si="62"/>
        <v>0</v>
      </c>
      <c r="O101" s="516">
        <f t="shared" si="63"/>
        <v>100</v>
      </c>
      <c r="P101" s="208"/>
    </row>
    <row r="102" spans="1:16" ht="43.5" customHeight="1" x14ac:dyDescent="0.2">
      <c r="A102" s="912" t="s">
        <v>600</v>
      </c>
      <c r="B102" s="912"/>
      <c r="C102" s="912"/>
      <c r="D102" s="912"/>
      <c r="E102" s="481">
        <f t="shared" si="60"/>
        <v>34000</v>
      </c>
      <c r="F102" s="481">
        <v>0</v>
      </c>
      <c r="G102" s="481">
        <v>34000</v>
      </c>
      <c r="H102" s="323" t="s">
        <v>353</v>
      </c>
      <c r="I102" s="323" t="s">
        <v>636</v>
      </c>
      <c r="J102" s="365" t="s">
        <v>628</v>
      </c>
      <c r="K102" s="516">
        <v>34000</v>
      </c>
      <c r="L102" s="516">
        <f t="shared" si="61"/>
        <v>0</v>
      </c>
      <c r="M102" s="517">
        <v>34000</v>
      </c>
      <c r="N102" s="516">
        <f t="shared" si="62"/>
        <v>0</v>
      </c>
      <c r="O102" s="516">
        <f t="shared" si="63"/>
        <v>100</v>
      </c>
      <c r="P102" s="208"/>
    </row>
    <row r="103" spans="1:16" ht="44.25" customHeight="1" x14ac:dyDescent="0.2">
      <c r="A103" s="912" t="s">
        <v>601</v>
      </c>
      <c r="B103" s="912"/>
      <c r="C103" s="912"/>
      <c r="D103" s="912"/>
      <c r="E103" s="481">
        <f t="shared" si="60"/>
        <v>112500</v>
      </c>
      <c r="F103" s="481">
        <v>0</v>
      </c>
      <c r="G103" s="481">
        <v>112500</v>
      </c>
      <c r="H103" s="323" t="s">
        <v>353</v>
      </c>
      <c r="I103" s="323" t="s">
        <v>692</v>
      </c>
      <c r="J103" s="365" t="s">
        <v>628</v>
      </c>
      <c r="K103" s="516">
        <v>112500</v>
      </c>
      <c r="L103" s="516">
        <f t="shared" si="61"/>
        <v>0</v>
      </c>
      <c r="M103" s="517">
        <v>112500</v>
      </c>
      <c r="N103" s="516">
        <f t="shared" si="62"/>
        <v>0</v>
      </c>
      <c r="O103" s="516">
        <f t="shared" si="63"/>
        <v>100</v>
      </c>
      <c r="P103" s="208"/>
    </row>
    <row r="104" spans="1:16" ht="61.5" customHeight="1" x14ac:dyDescent="0.2">
      <c r="A104" s="912" t="s">
        <v>602</v>
      </c>
      <c r="B104" s="912"/>
      <c r="C104" s="912"/>
      <c r="D104" s="912"/>
      <c r="E104" s="481">
        <f t="shared" si="60"/>
        <v>74000</v>
      </c>
      <c r="F104" s="481">
        <v>0</v>
      </c>
      <c r="G104" s="481">
        <v>74000</v>
      </c>
      <c r="H104" s="323" t="s">
        <v>353</v>
      </c>
      <c r="I104" s="321" t="s">
        <v>693</v>
      </c>
      <c r="J104" s="365" t="s">
        <v>628</v>
      </c>
      <c r="K104" s="516">
        <v>74000</v>
      </c>
      <c r="L104" s="516">
        <f t="shared" si="61"/>
        <v>0</v>
      </c>
      <c r="M104" s="517">
        <v>74000</v>
      </c>
      <c r="N104" s="516">
        <f t="shared" si="62"/>
        <v>0</v>
      </c>
      <c r="O104" s="516">
        <f t="shared" si="63"/>
        <v>100</v>
      </c>
      <c r="P104" s="208"/>
    </row>
    <row r="105" spans="1:16" ht="40.5" customHeight="1" x14ac:dyDescent="0.2">
      <c r="A105" s="912" t="s">
        <v>603</v>
      </c>
      <c r="B105" s="912"/>
      <c r="C105" s="912"/>
      <c r="D105" s="912"/>
      <c r="E105" s="481">
        <f t="shared" si="60"/>
        <v>30000</v>
      </c>
      <c r="F105" s="481">
        <v>0</v>
      </c>
      <c r="G105" s="481">
        <v>30000</v>
      </c>
      <c r="H105" s="323" t="s">
        <v>353</v>
      </c>
      <c r="I105" s="323" t="s">
        <v>692</v>
      </c>
      <c r="J105" s="365" t="s">
        <v>628</v>
      </c>
      <c r="K105" s="516">
        <v>30000</v>
      </c>
      <c r="L105" s="516">
        <f t="shared" si="61"/>
        <v>0</v>
      </c>
      <c r="M105" s="517">
        <v>30000</v>
      </c>
      <c r="N105" s="516">
        <f t="shared" si="62"/>
        <v>0</v>
      </c>
      <c r="O105" s="516">
        <f t="shared" si="63"/>
        <v>100</v>
      </c>
      <c r="P105" s="208"/>
    </row>
    <row r="106" spans="1:16" ht="42" customHeight="1" x14ac:dyDescent="0.2">
      <c r="A106" s="912" t="s">
        <v>604</v>
      </c>
      <c r="B106" s="912"/>
      <c r="C106" s="912"/>
      <c r="D106" s="912"/>
      <c r="E106" s="481">
        <f t="shared" si="60"/>
        <v>40000</v>
      </c>
      <c r="F106" s="481">
        <v>0</v>
      </c>
      <c r="G106" s="481">
        <v>40000</v>
      </c>
      <c r="H106" s="323" t="s">
        <v>353</v>
      </c>
      <c r="I106" s="323" t="s">
        <v>692</v>
      </c>
      <c r="J106" s="365" t="s">
        <v>628</v>
      </c>
      <c r="K106" s="516">
        <v>40000</v>
      </c>
      <c r="L106" s="516">
        <f t="shared" si="61"/>
        <v>0</v>
      </c>
      <c r="M106" s="517">
        <v>40000</v>
      </c>
      <c r="N106" s="516">
        <f t="shared" si="62"/>
        <v>0</v>
      </c>
      <c r="O106" s="516">
        <f t="shared" si="63"/>
        <v>100</v>
      </c>
      <c r="P106" s="208"/>
    </row>
    <row r="107" spans="1:16" ht="47.25" customHeight="1" x14ac:dyDescent="0.2">
      <c r="A107" s="912" t="s">
        <v>926</v>
      </c>
      <c r="B107" s="912"/>
      <c r="C107" s="912"/>
      <c r="D107" s="912"/>
      <c r="E107" s="481">
        <f t="shared" si="60"/>
        <v>15000</v>
      </c>
      <c r="F107" s="481">
        <v>0</v>
      </c>
      <c r="G107" s="481">
        <v>15000</v>
      </c>
      <c r="H107" s="323" t="s">
        <v>353</v>
      </c>
      <c r="I107" s="323" t="s">
        <v>692</v>
      </c>
      <c r="J107" s="365" t="s">
        <v>628</v>
      </c>
      <c r="K107" s="516">
        <v>14800</v>
      </c>
      <c r="L107" s="516">
        <f t="shared" si="61"/>
        <v>200</v>
      </c>
      <c r="M107" s="517">
        <v>14800</v>
      </c>
      <c r="N107" s="516">
        <f t="shared" si="62"/>
        <v>0</v>
      </c>
      <c r="O107" s="516">
        <v>100</v>
      </c>
      <c r="P107" s="208"/>
    </row>
    <row r="108" spans="1:16" ht="68.25" customHeight="1" x14ac:dyDescent="0.2">
      <c r="A108" s="912" t="s">
        <v>904</v>
      </c>
      <c r="B108" s="912"/>
      <c r="C108" s="912"/>
      <c r="D108" s="912"/>
      <c r="E108" s="481">
        <f t="shared" si="60"/>
        <v>40000</v>
      </c>
      <c r="F108" s="481">
        <v>0</v>
      </c>
      <c r="G108" s="481">
        <v>40000</v>
      </c>
      <c r="H108" s="323" t="s">
        <v>353</v>
      </c>
      <c r="I108" s="323" t="s">
        <v>692</v>
      </c>
      <c r="J108" s="365" t="s">
        <v>628</v>
      </c>
      <c r="K108" s="516">
        <v>40000</v>
      </c>
      <c r="L108" s="516">
        <f t="shared" si="61"/>
        <v>0</v>
      </c>
      <c r="M108" s="517">
        <v>40000</v>
      </c>
      <c r="N108" s="516">
        <f t="shared" si="62"/>
        <v>0</v>
      </c>
      <c r="O108" s="516">
        <f t="shared" si="63"/>
        <v>100</v>
      </c>
      <c r="P108" s="208"/>
    </row>
    <row r="109" spans="1:16" ht="43.5" customHeight="1" x14ac:dyDescent="0.2">
      <c r="A109" s="912" t="s">
        <v>927</v>
      </c>
      <c r="B109" s="912"/>
      <c r="C109" s="912"/>
      <c r="D109" s="912"/>
      <c r="E109" s="481">
        <f t="shared" si="60"/>
        <v>8000</v>
      </c>
      <c r="F109" s="481">
        <v>0</v>
      </c>
      <c r="G109" s="481">
        <v>8000</v>
      </c>
      <c r="H109" s="323" t="s">
        <v>353</v>
      </c>
      <c r="I109" s="321" t="s">
        <v>688</v>
      </c>
      <c r="J109" s="365" t="s">
        <v>628</v>
      </c>
      <c r="K109" s="516">
        <v>8000</v>
      </c>
      <c r="L109" s="516">
        <f t="shared" si="61"/>
        <v>0</v>
      </c>
      <c r="M109" s="517">
        <v>8000</v>
      </c>
      <c r="N109" s="516">
        <f t="shared" si="62"/>
        <v>0</v>
      </c>
      <c r="O109" s="516">
        <f t="shared" si="63"/>
        <v>100</v>
      </c>
      <c r="P109" s="208"/>
    </row>
    <row r="110" spans="1:16" ht="42.75" customHeight="1" x14ac:dyDescent="0.2">
      <c r="A110" s="912" t="s">
        <v>608</v>
      </c>
      <c r="B110" s="912"/>
      <c r="C110" s="912"/>
      <c r="D110" s="912"/>
      <c r="E110" s="481">
        <f t="shared" si="60"/>
        <v>19000</v>
      </c>
      <c r="F110" s="481">
        <v>0</v>
      </c>
      <c r="G110" s="481">
        <v>19000</v>
      </c>
      <c r="H110" s="323" t="s">
        <v>353</v>
      </c>
      <c r="I110" s="323" t="s">
        <v>692</v>
      </c>
      <c r="J110" s="365" t="s">
        <v>628</v>
      </c>
      <c r="K110" s="516">
        <v>19000</v>
      </c>
      <c r="L110" s="516">
        <f t="shared" si="61"/>
        <v>0</v>
      </c>
      <c r="M110" s="517">
        <v>19000</v>
      </c>
      <c r="N110" s="516">
        <f t="shared" si="62"/>
        <v>0</v>
      </c>
      <c r="O110" s="516">
        <f t="shared" si="63"/>
        <v>100</v>
      </c>
      <c r="P110" s="208"/>
    </row>
    <row r="111" spans="1:16" ht="60.75" customHeight="1" x14ac:dyDescent="0.2">
      <c r="A111" s="912" t="s">
        <v>609</v>
      </c>
      <c r="B111" s="912"/>
      <c r="C111" s="912"/>
      <c r="D111" s="912"/>
      <c r="E111" s="481">
        <f t="shared" si="60"/>
        <v>6500</v>
      </c>
      <c r="F111" s="481">
        <v>0</v>
      </c>
      <c r="G111" s="481">
        <v>6500</v>
      </c>
      <c r="H111" s="323" t="s">
        <v>353</v>
      </c>
      <c r="I111" s="321" t="s">
        <v>693</v>
      </c>
      <c r="J111" s="365" t="s">
        <v>628</v>
      </c>
      <c r="K111" s="516">
        <v>5600</v>
      </c>
      <c r="L111" s="516">
        <f t="shared" si="61"/>
        <v>900</v>
      </c>
      <c r="M111" s="517">
        <v>5600</v>
      </c>
      <c r="N111" s="516">
        <f t="shared" si="62"/>
        <v>0</v>
      </c>
      <c r="O111" s="516">
        <v>100</v>
      </c>
      <c r="P111" s="208"/>
    </row>
    <row r="112" spans="1:16" ht="63" customHeight="1" x14ac:dyDescent="0.2">
      <c r="A112" s="912" t="s">
        <v>610</v>
      </c>
      <c r="B112" s="912"/>
      <c r="C112" s="912"/>
      <c r="D112" s="912"/>
      <c r="E112" s="481">
        <f t="shared" si="60"/>
        <v>7500</v>
      </c>
      <c r="F112" s="481">
        <v>0</v>
      </c>
      <c r="G112" s="481">
        <v>7500</v>
      </c>
      <c r="H112" s="323" t="s">
        <v>353</v>
      </c>
      <c r="I112" s="321" t="s">
        <v>693</v>
      </c>
      <c r="J112" s="365" t="s">
        <v>628</v>
      </c>
      <c r="K112" s="516">
        <v>7500</v>
      </c>
      <c r="L112" s="516">
        <f t="shared" si="61"/>
        <v>0</v>
      </c>
      <c r="M112" s="517">
        <v>7500</v>
      </c>
      <c r="N112" s="516">
        <f t="shared" si="62"/>
        <v>0</v>
      </c>
      <c r="O112" s="516">
        <f t="shared" si="63"/>
        <v>100</v>
      </c>
      <c r="P112" s="208"/>
    </row>
    <row r="113" spans="1:17" ht="56.25" customHeight="1" x14ac:dyDescent="0.2">
      <c r="A113" s="912" t="s">
        <v>611</v>
      </c>
      <c r="B113" s="912"/>
      <c r="C113" s="912"/>
      <c r="D113" s="912"/>
      <c r="E113" s="481">
        <f t="shared" si="60"/>
        <v>90000</v>
      </c>
      <c r="F113" s="481">
        <v>0</v>
      </c>
      <c r="G113" s="481">
        <v>90000</v>
      </c>
      <c r="H113" s="323" t="s">
        <v>353</v>
      </c>
      <c r="I113" s="321" t="s">
        <v>693</v>
      </c>
      <c r="J113" s="365" t="s">
        <v>628</v>
      </c>
      <c r="K113" s="516">
        <v>90000</v>
      </c>
      <c r="L113" s="516">
        <f t="shared" si="61"/>
        <v>0</v>
      </c>
      <c r="M113" s="517">
        <v>90000</v>
      </c>
      <c r="N113" s="516">
        <f t="shared" si="62"/>
        <v>0</v>
      </c>
      <c r="O113" s="516">
        <f t="shared" si="63"/>
        <v>100</v>
      </c>
      <c r="P113" s="208"/>
    </row>
    <row r="114" spans="1:17" ht="41.25" customHeight="1" x14ac:dyDescent="0.2">
      <c r="A114" s="912" t="s">
        <v>559</v>
      </c>
      <c r="B114" s="912"/>
      <c r="C114" s="912"/>
      <c r="D114" s="912"/>
      <c r="E114" s="481">
        <f t="shared" si="60"/>
        <v>32000</v>
      </c>
      <c r="F114" s="481">
        <v>0</v>
      </c>
      <c r="G114" s="481">
        <v>32000</v>
      </c>
      <c r="H114" s="323" t="s">
        <v>353</v>
      </c>
      <c r="I114" s="323" t="s">
        <v>636</v>
      </c>
      <c r="J114" s="365" t="s">
        <v>628</v>
      </c>
      <c r="K114" s="516">
        <v>32000</v>
      </c>
      <c r="L114" s="516">
        <f t="shared" si="61"/>
        <v>0</v>
      </c>
      <c r="M114" s="517">
        <v>32000</v>
      </c>
      <c r="N114" s="516">
        <f t="shared" si="62"/>
        <v>0</v>
      </c>
      <c r="O114" s="516">
        <f t="shared" si="63"/>
        <v>100</v>
      </c>
      <c r="P114" s="208"/>
    </row>
    <row r="115" spans="1:17" ht="40.5" customHeight="1" x14ac:dyDescent="0.2">
      <c r="A115" s="912" t="s">
        <v>561</v>
      </c>
      <c r="B115" s="912"/>
      <c r="C115" s="912"/>
      <c r="D115" s="912"/>
      <c r="E115" s="481">
        <f t="shared" si="60"/>
        <v>5000</v>
      </c>
      <c r="F115" s="481">
        <v>0</v>
      </c>
      <c r="G115" s="481">
        <v>5000</v>
      </c>
      <c r="H115" s="323" t="s">
        <v>353</v>
      </c>
      <c r="I115" s="321" t="s">
        <v>688</v>
      </c>
      <c r="J115" s="365" t="s">
        <v>628</v>
      </c>
      <c r="K115" s="516">
        <v>5000</v>
      </c>
      <c r="L115" s="516">
        <f t="shared" si="61"/>
        <v>0</v>
      </c>
      <c r="M115" s="517">
        <v>5000</v>
      </c>
      <c r="N115" s="516">
        <f t="shared" si="62"/>
        <v>0</v>
      </c>
      <c r="O115" s="516">
        <f t="shared" si="63"/>
        <v>100</v>
      </c>
      <c r="P115" s="208"/>
    </row>
    <row r="116" spans="1:17" ht="41.25" customHeight="1" x14ac:dyDescent="0.2">
      <c r="A116" s="912" t="s">
        <v>562</v>
      </c>
      <c r="B116" s="912"/>
      <c r="C116" s="912"/>
      <c r="D116" s="912"/>
      <c r="E116" s="481">
        <f t="shared" si="60"/>
        <v>4500</v>
      </c>
      <c r="F116" s="481">
        <v>0</v>
      </c>
      <c r="G116" s="481">
        <v>4500</v>
      </c>
      <c r="H116" s="323" t="s">
        <v>353</v>
      </c>
      <c r="I116" s="321" t="s">
        <v>688</v>
      </c>
      <c r="J116" s="365" t="s">
        <v>628</v>
      </c>
      <c r="K116" s="516">
        <v>4500</v>
      </c>
      <c r="L116" s="516">
        <f t="shared" si="61"/>
        <v>0</v>
      </c>
      <c r="M116" s="517">
        <v>4500</v>
      </c>
      <c r="N116" s="516">
        <f t="shared" si="62"/>
        <v>0</v>
      </c>
      <c r="O116" s="516">
        <f t="shared" si="63"/>
        <v>100</v>
      </c>
      <c r="P116" s="208"/>
    </row>
    <row r="117" spans="1:17" ht="45" customHeight="1" x14ac:dyDescent="0.2">
      <c r="A117" s="912" t="s">
        <v>563</v>
      </c>
      <c r="B117" s="912"/>
      <c r="C117" s="912"/>
      <c r="D117" s="912"/>
      <c r="E117" s="481">
        <f t="shared" si="60"/>
        <v>5000</v>
      </c>
      <c r="F117" s="481">
        <v>0</v>
      </c>
      <c r="G117" s="481">
        <v>5000</v>
      </c>
      <c r="H117" s="323" t="s">
        <v>353</v>
      </c>
      <c r="I117" s="321" t="s">
        <v>688</v>
      </c>
      <c r="J117" s="365" t="s">
        <v>628</v>
      </c>
      <c r="K117" s="516">
        <v>5000</v>
      </c>
      <c r="L117" s="516">
        <f t="shared" si="61"/>
        <v>0</v>
      </c>
      <c r="M117" s="517">
        <v>5000</v>
      </c>
      <c r="N117" s="516">
        <f t="shared" si="62"/>
        <v>0</v>
      </c>
      <c r="O117" s="516">
        <f t="shared" si="63"/>
        <v>100</v>
      </c>
      <c r="P117" s="208"/>
    </row>
    <row r="118" spans="1:17" ht="42" customHeight="1" x14ac:dyDescent="0.2">
      <c r="A118" s="912" t="s">
        <v>564</v>
      </c>
      <c r="B118" s="912"/>
      <c r="C118" s="912"/>
      <c r="D118" s="912"/>
      <c r="E118" s="481">
        <f t="shared" si="60"/>
        <v>7000</v>
      </c>
      <c r="F118" s="481">
        <v>0</v>
      </c>
      <c r="G118" s="481">
        <v>7000</v>
      </c>
      <c r="H118" s="323" t="s">
        <v>353</v>
      </c>
      <c r="I118" s="321" t="s">
        <v>688</v>
      </c>
      <c r="J118" s="365" t="s">
        <v>628</v>
      </c>
      <c r="K118" s="516">
        <v>7000</v>
      </c>
      <c r="L118" s="516">
        <f t="shared" si="61"/>
        <v>0</v>
      </c>
      <c r="M118" s="517">
        <v>7000</v>
      </c>
      <c r="N118" s="516">
        <f t="shared" si="62"/>
        <v>0</v>
      </c>
      <c r="O118" s="516">
        <f t="shared" si="63"/>
        <v>100</v>
      </c>
      <c r="P118" s="208"/>
    </row>
    <row r="119" spans="1:17" ht="39" customHeight="1" x14ac:dyDescent="0.2">
      <c r="A119" s="912" t="s">
        <v>565</v>
      </c>
      <c r="B119" s="912"/>
      <c r="C119" s="912"/>
      <c r="D119" s="912"/>
      <c r="E119" s="481">
        <f t="shared" si="60"/>
        <v>9000</v>
      </c>
      <c r="F119" s="481">
        <v>0</v>
      </c>
      <c r="G119" s="481">
        <v>9000</v>
      </c>
      <c r="H119" s="323" t="s">
        <v>353</v>
      </c>
      <c r="I119" s="321" t="s">
        <v>688</v>
      </c>
      <c r="J119" s="365" t="s">
        <v>628</v>
      </c>
      <c r="K119" s="516">
        <v>9000</v>
      </c>
      <c r="L119" s="516">
        <f t="shared" si="61"/>
        <v>0</v>
      </c>
      <c r="M119" s="517">
        <v>9000</v>
      </c>
      <c r="N119" s="516">
        <f t="shared" si="62"/>
        <v>0</v>
      </c>
      <c r="O119" s="516">
        <f t="shared" si="63"/>
        <v>100</v>
      </c>
      <c r="P119" s="208"/>
    </row>
    <row r="120" spans="1:17" ht="42" customHeight="1" x14ac:dyDescent="0.2">
      <c r="A120" s="912" t="s">
        <v>566</v>
      </c>
      <c r="B120" s="912"/>
      <c r="C120" s="912"/>
      <c r="D120" s="912"/>
      <c r="E120" s="481">
        <f t="shared" si="60"/>
        <v>16000</v>
      </c>
      <c r="F120" s="481">
        <v>0</v>
      </c>
      <c r="G120" s="481">
        <v>16000</v>
      </c>
      <c r="H120" s="323" t="s">
        <v>353</v>
      </c>
      <c r="I120" s="321" t="s">
        <v>688</v>
      </c>
      <c r="J120" s="365" t="s">
        <v>628</v>
      </c>
      <c r="K120" s="516">
        <v>16000</v>
      </c>
      <c r="L120" s="516">
        <f t="shared" si="61"/>
        <v>0</v>
      </c>
      <c r="M120" s="517">
        <v>16000</v>
      </c>
      <c r="N120" s="516">
        <f t="shared" si="62"/>
        <v>0</v>
      </c>
      <c r="O120" s="516">
        <f t="shared" si="63"/>
        <v>100</v>
      </c>
      <c r="P120" s="208"/>
    </row>
    <row r="121" spans="1:17" ht="40.5" customHeight="1" x14ac:dyDescent="0.2">
      <c r="A121" s="912" t="s">
        <v>612</v>
      </c>
      <c r="B121" s="912"/>
      <c r="C121" s="912"/>
      <c r="D121" s="912"/>
      <c r="E121" s="481">
        <f t="shared" si="60"/>
        <v>860000</v>
      </c>
      <c r="F121" s="481">
        <v>0</v>
      </c>
      <c r="G121" s="481">
        <v>860000</v>
      </c>
      <c r="H121" s="323" t="s">
        <v>353</v>
      </c>
      <c r="I121" s="323" t="s">
        <v>718</v>
      </c>
      <c r="J121" s="365" t="s">
        <v>719</v>
      </c>
      <c r="K121" s="516">
        <v>590000</v>
      </c>
      <c r="L121" s="516">
        <f t="shared" si="61"/>
        <v>270000</v>
      </c>
      <c r="M121" s="517">
        <v>590000</v>
      </c>
      <c r="N121" s="516">
        <f t="shared" si="62"/>
        <v>0</v>
      </c>
      <c r="O121" s="516">
        <v>100</v>
      </c>
      <c r="P121" s="208"/>
    </row>
    <row r="122" spans="1:17" s="474" customFormat="1" ht="45" customHeight="1" x14ac:dyDescent="0.2">
      <c r="A122" s="914" t="s">
        <v>779</v>
      </c>
      <c r="B122" s="914"/>
      <c r="C122" s="914"/>
      <c r="D122" s="914"/>
      <c r="E122" s="486">
        <f>E123</f>
        <v>1000000</v>
      </c>
      <c r="F122" s="486">
        <f>F123</f>
        <v>1000000</v>
      </c>
      <c r="G122" s="486">
        <f>G123</f>
        <v>0</v>
      </c>
      <c r="H122" s="487"/>
      <c r="I122" s="487"/>
      <c r="J122" s="487"/>
      <c r="K122" s="488">
        <f>K123</f>
        <v>0</v>
      </c>
      <c r="L122" s="488">
        <f t="shared" ref="L122:N122" si="64">L123</f>
        <v>110830</v>
      </c>
      <c r="M122" s="488">
        <f t="shared" si="64"/>
        <v>889170</v>
      </c>
      <c r="N122" s="488">
        <f t="shared" si="64"/>
        <v>0</v>
      </c>
      <c r="O122" s="488">
        <f>M122*100/E122</f>
        <v>88.917000000000002</v>
      </c>
      <c r="P122" s="216"/>
    </row>
    <row r="123" spans="1:17" ht="56.25" customHeight="1" x14ac:dyDescent="0.2">
      <c r="A123" s="912" t="s">
        <v>780</v>
      </c>
      <c r="B123" s="912"/>
      <c r="C123" s="912"/>
      <c r="D123" s="912"/>
      <c r="E123" s="476">
        <v>1000000</v>
      </c>
      <c r="F123" s="481">
        <v>1000000</v>
      </c>
      <c r="G123" s="481">
        <v>0</v>
      </c>
      <c r="H123" s="321" t="s">
        <v>860</v>
      </c>
      <c r="I123" s="114" t="s">
        <v>918</v>
      </c>
      <c r="J123" s="344" t="s">
        <v>917</v>
      </c>
      <c r="K123" s="390"/>
      <c r="L123" s="516">
        <v>110830</v>
      </c>
      <c r="M123" s="516">
        <f>88917+266751+533502</f>
        <v>889170</v>
      </c>
      <c r="N123" s="516">
        <f>E123-M123-L123</f>
        <v>0</v>
      </c>
      <c r="O123" s="516">
        <v>100</v>
      </c>
      <c r="P123" s="295" t="s">
        <v>444</v>
      </c>
      <c r="Q123" s="409">
        <v>11830</v>
      </c>
    </row>
    <row r="124" spans="1:17" ht="69" customHeight="1" x14ac:dyDescent="0.2">
      <c r="A124" s="919" t="s">
        <v>928</v>
      </c>
      <c r="B124" s="919"/>
      <c r="C124" s="919"/>
      <c r="D124" s="919"/>
      <c r="E124" s="494">
        <f>SUM(E125:E136)</f>
        <v>109937000</v>
      </c>
      <c r="F124" s="494">
        <f>SUM(F125:F136)</f>
        <v>0</v>
      </c>
      <c r="G124" s="494">
        <f>SUM(G125:G136)</f>
        <v>109937000</v>
      </c>
      <c r="H124" s="495"/>
      <c r="I124" s="495"/>
      <c r="J124" s="495"/>
      <c r="K124" s="496">
        <f>SUM(K125:K136)</f>
        <v>85473381</v>
      </c>
      <c r="L124" s="496">
        <f t="shared" ref="L124:N124" si="65">SUM(L125:L136)</f>
        <v>24463619</v>
      </c>
      <c r="M124" s="496">
        <f t="shared" si="65"/>
        <v>22645400</v>
      </c>
      <c r="N124" s="496">
        <f t="shared" si="65"/>
        <v>62827981</v>
      </c>
      <c r="O124" s="496">
        <f>M124*100/E124</f>
        <v>20.598524609549106</v>
      </c>
      <c r="P124" s="212"/>
      <c r="Q124" s="580"/>
    </row>
    <row r="125" spans="1:17" s="729" customFormat="1" ht="61.5" customHeight="1" x14ac:dyDescent="0.2">
      <c r="A125" s="917" t="s">
        <v>781</v>
      </c>
      <c r="B125" s="917"/>
      <c r="C125" s="917"/>
      <c r="D125" s="917"/>
      <c r="E125" s="745">
        <v>7100000</v>
      </c>
      <c r="F125" s="730">
        <v>0</v>
      </c>
      <c r="G125" s="745">
        <v>7100000</v>
      </c>
      <c r="H125" s="737" t="s">
        <v>353</v>
      </c>
      <c r="I125" s="724" t="s">
        <v>903</v>
      </c>
      <c r="J125" s="724" t="s">
        <v>717</v>
      </c>
      <c r="K125" s="732">
        <v>6530000</v>
      </c>
      <c r="L125" s="732">
        <f>G125-K125</f>
        <v>570000</v>
      </c>
      <c r="M125" s="732">
        <v>6530000</v>
      </c>
      <c r="N125" s="732">
        <f>E125-M125-L125</f>
        <v>0</v>
      </c>
      <c r="O125" s="732">
        <v>100</v>
      </c>
      <c r="P125" s="728" t="s">
        <v>782</v>
      </c>
    </row>
    <row r="126" spans="1:17" s="729" customFormat="1" ht="45" customHeight="1" x14ac:dyDescent="0.2">
      <c r="A126" s="917" t="s">
        <v>783</v>
      </c>
      <c r="B126" s="917"/>
      <c r="C126" s="917"/>
      <c r="D126" s="917"/>
      <c r="E126" s="745">
        <v>9600000</v>
      </c>
      <c r="F126" s="746">
        <v>0</v>
      </c>
      <c r="G126" s="745">
        <v>9600000</v>
      </c>
      <c r="H126" s="737" t="s">
        <v>353</v>
      </c>
      <c r="I126" s="724" t="s">
        <v>724</v>
      </c>
      <c r="J126" s="724" t="s">
        <v>723</v>
      </c>
      <c r="K126" s="732">
        <v>9500000</v>
      </c>
      <c r="L126" s="732">
        <f t="shared" ref="L126:L127" si="66">G126-K126</f>
        <v>100000</v>
      </c>
      <c r="M126" s="747">
        <v>9500000</v>
      </c>
      <c r="N126" s="732">
        <f t="shared" ref="N126:N136" si="67">E126-M126-L126</f>
        <v>0</v>
      </c>
      <c r="O126" s="747">
        <v>100</v>
      </c>
      <c r="P126" s="728"/>
    </row>
    <row r="127" spans="1:17" ht="76.5" customHeight="1" x14ac:dyDescent="0.2">
      <c r="A127" s="912" t="s">
        <v>784</v>
      </c>
      <c r="B127" s="912"/>
      <c r="C127" s="912"/>
      <c r="D127" s="912"/>
      <c r="E127" s="498">
        <v>6300000</v>
      </c>
      <c r="F127" s="498">
        <v>0</v>
      </c>
      <c r="G127" s="498">
        <v>6300000</v>
      </c>
      <c r="H127" s="323" t="s">
        <v>860</v>
      </c>
      <c r="I127" s="465" t="s">
        <v>909</v>
      </c>
      <c r="J127" s="465" t="s">
        <v>910</v>
      </c>
      <c r="K127" s="527">
        <v>5478400</v>
      </c>
      <c r="L127" s="489">
        <f t="shared" si="66"/>
        <v>821600</v>
      </c>
      <c r="M127" s="489">
        <v>5478400</v>
      </c>
      <c r="N127" s="489">
        <f t="shared" si="67"/>
        <v>0</v>
      </c>
      <c r="O127" s="497">
        <v>100</v>
      </c>
      <c r="P127" s="208"/>
      <c r="Q127" s="528"/>
    </row>
    <row r="128" spans="1:17" ht="43.5" customHeight="1" x14ac:dyDescent="0.2">
      <c r="A128" s="912" t="s">
        <v>901</v>
      </c>
      <c r="B128" s="912"/>
      <c r="C128" s="912"/>
      <c r="D128" s="912"/>
      <c r="E128" s="476">
        <f>G128</f>
        <v>0</v>
      </c>
      <c r="F128" s="498">
        <v>0</v>
      </c>
      <c r="G128" s="476">
        <f>5000000-5000000</f>
        <v>0</v>
      </c>
      <c r="H128" s="531" t="s">
        <v>637</v>
      </c>
      <c r="I128" s="529"/>
      <c r="J128" s="529"/>
      <c r="K128" s="527"/>
      <c r="L128" s="527"/>
      <c r="M128" s="489"/>
      <c r="N128" s="489">
        <v>0</v>
      </c>
      <c r="O128" s="497">
        <v>0</v>
      </c>
      <c r="P128" s="208" t="s">
        <v>29</v>
      </c>
      <c r="Q128" s="473">
        <f>E128</f>
        <v>0</v>
      </c>
    </row>
    <row r="129" spans="1:17" ht="42.75" customHeight="1" x14ac:dyDescent="0.2">
      <c r="A129" s="912" t="s">
        <v>902</v>
      </c>
      <c r="B129" s="912"/>
      <c r="C129" s="912"/>
      <c r="D129" s="912"/>
      <c r="E129" s="476">
        <f>G129</f>
        <v>0</v>
      </c>
      <c r="F129" s="498">
        <v>0</v>
      </c>
      <c r="G129" s="476">
        <f>5000000-5000000</f>
        <v>0</v>
      </c>
      <c r="H129" s="531" t="s">
        <v>637</v>
      </c>
      <c r="I129" s="529"/>
      <c r="J129" s="529"/>
      <c r="K129" s="527"/>
      <c r="L129" s="527"/>
      <c r="M129" s="489"/>
      <c r="N129" s="489">
        <v>0</v>
      </c>
      <c r="O129" s="497">
        <v>0</v>
      </c>
      <c r="P129" s="208" t="s">
        <v>29</v>
      </c>
      <c r="Q129" s="473">
        <f>E129</f>
        <v>0</v>
      </c>
    </row>
    <row r="130" spans="1:17" ht="41.25" customHeight="1" x14ac:dyDescent="0.2">
      <c r="A130" s="912" t="s">
        <v>785</v>
      </c>
      <c r="B130" s="912"/>
      <c r="C130" s="912"/>
      <c r="D130" s="912"/>
      <c r="E130" s="476">
        <v>20000000</v>
      </c>
      <c r="F130" s="476">
        <v>0</v>
      </c>
      <c r="G130" s="476">
        <v>20000000</v>
      </c>
      <c r="H130" s="751" t="s">
        <v>1043</v>
      </c>
      <c r="I130" s="530" t="s">
        <v>684</v>
      </c>
      <c r="J130" s="465" t="s">
        <v>683</v>
      </c>
      <c r="K130" s="527">
        <v>12427732</v>
      </c>
      <c r="L130" s="527">
        <f>G130-K130</f>
        <v>7572268</v>
      </c>
      <c r="M130" s="489"/>
      <c r="N130" s="489">
        <f t="shared" si="67"/>
        <v>12427732</v>
      </c>
      <c r="O130" s="497">
        <f t="shared" ref="O130:O136" si="68">M130*100/E130</f>
        <v>0</v>
      </c>
      <c r="P130" s="208" t="s">
        <v>29</v>
      </c>
    </row>
    <row r="131" spans="1:17" ht="39.75" customHeight="1" x14ac:dyDescent="0.2">
      <c r="A131" s="912" t="s">
        <v>839</v>
      </c>
      <c r="B131" s="912"/>
      <c r="C131" s="912"/>
      <c r="D131" s="912"/>
      <c r="E131" s="476">
        <v>20000000</v>
      </c>
      <c r="F131" s="476">
        <v>0</v>
      </c>
      <c r="G131" s="476">
        <v>20000000</v>
      </c>
      <c r="H131" s="751" t="s">
        <v>1043</v>
      </c>
      <c r="I131" s="530" t="s">
        <v>684</v>
      </c>
      <c r="J131" s="465" t="s">
        <v>683</v>
      </c>
      <c r="K131" s="527">
        <v>12436197</v>
      </c>
      <c r="L131" s="527">
        <f t="shared" ref="L131:L133" si="69">G131-K131</f>
        <v>7563803</v>
      </c>
      <c r="M131" s="489"/>
      <c r="N131" s="489">
        <f t="shared" si="67"/>
        <v>12436197</v>
      </c>
      <c r="O131" s="497">
        <f t="shared" si="68"/>
        <v>0</v>
      </c>
      <c r="P131" s="208" t="s">
        <v>29</v>
      </c>
    </row>
    <row r="132" spans="1:17" ht="48" customHeight="1" x14ac:dyDescent="0.2">
      <c r="A132" s="912" t="s">
        <v>786</v>
      </c>
      <c r="B132" s="912"/>
      <c r="C132" s="912"/>
      <c r="D132" s="912"/>
      <c r="E132" s="476">
        <v>20000000</v>
      </c>
      <c r="F132" s="476">
        <v>0</v>
      </c>
      <c r="G132" s="476">
        <v>20000000</v>
      </c>
      <c r="H132" s="751" t="s">
        <v>1043</v>
      </c>
      <c r="I132" s="530" t="s">
        <v>684</v>
      </c>
      <c r="J132" s="465" t="s">
        <v>683</v>
      </c>
      <c r="K132" s="527">
        <v>12366052</v>
      </c>
      <c r="L132" s="527">
        <f t="shared" si="69"/>
        <v>7633948</v>
      </c>
      <c r="M132" s="489"/>
      <c r="N132" s="489">
        <f t="shared" si="67"/>
        <v>12366052</v>
      </c>
      <c r="O132" s="497">
        <f t="shared" si="68"/>
        <v>0</v>
      </c>
      <c r="P132" s="208" t="s">
        <v>29</v>
      </c>
    </row>
    <row r="133" spans="1:17" ht="40.5" customHeight="1" x14ac:dyDescent="0.2">
      <c r="A133" s="912" t="s">
        <v>787</v>
      </c>
      <c r="B133" s="912"/>
      <c r="C133" s="912"/>
      <c r="D133" s="912"/>
      <c r="E133" s="476">
        <v>25800000</v>
      </c>
      <c r="F133" s="476">
        <v>0</v>
      </c>
      <c r="G133" s="476">
        <v>25800000</v>
      </c>
      <c r="H133" s="751" t="s">
        <v>1043</v>
      </c>
      <c r="I133" s="114" t="s">
        <v>682</v>
      </c>
      <c r="J133" s="465" t="s">
        <v>681</v>
      </c>
      <c r="K133" s="527">
        <v>25598000</v>
      </c>
      <c r="L133" s="527">
        <f t="shared" si="69"/>
        <v>202000</v>
      </c>
      <c r="M133" s="489"/>
      <c r="N133" s="489">
        <f t="shared" si="67"/>
        <v>25598000</v>
      </c>
      <c r="O133" s="497">
        <f t="shared" si="68"/>
        <v>0</v>
      </c>
      <c r="P133" s="208" t="s">
        <v>29</v>
      </c>
    </row>
    <row r="134" spans="1:17" s="729" customFormat="1" ht="47.25" customHeight="1" x14ac:dyDescent="0.2">
      <c r="A134" s="917" t="s">
        <v>900</v>
      </c>
      <c r="B134" s="917"/>
      <c r="C134" s="917"/>
      <c r="D134" s="917"/>
      <c r="E134" s="745">
        <v>261000</v>
      </c>
      <c r="F134" s="730">
        <v>0</v>
      </c>
      <c r="G134" s="745">
        <v>261000</v>
      </c>
      <c r="H134" s="737" t="s">
        <v>353</v>
      </c>
      <c r="I134" s="724" t="s">
        <v>702</v>
      </c>
      <c r="J134" s="724" t="s">
        <v>629</v>
      </c>
      <c r="K134" s="732">
        <v>261000</v>
      </c>
      <c r="L134" s="732">
        <f t="shared" ref="L134:L136" si="70">E134-K134</f>
        <v>0</v>
      </c>
      <c r="M134" s="732">
        <v>261000</v>
      </c>
      <c r="N134" s="732">
        <f t="shared" si="67"/>
        <v>0</v>
      </c>
      <c r="O134" s="747">
        <f t="shared" si="68"/>
        <v>100</v>
      </c>
      <c r="P134" s="728" t="s">
        <v>8</v>
      </c>
    </row>
    <row r="135" spans="1:17" s="729" customFormat="1" ht="45" customHeight="1" x14ac:dyDescent="0.2">
      <c r="A135" s="917" t="s">
        <v>916</v>
      </c>
      <c r="B135" s="917"/>
      <c r="C135" s="917"/>
      <c r="D135" s="917"/>
      <c r="E135" s="745">
        <v>472000</v>
      </c>
      <c r="F135" s="730">
        <v>0</v>
      </c>
      <c r="G135" s="745">
        <v>472000</v>
      </c>
      <c r="H135" s="737" t="s">
        <v>353</v>
      </c>
      <c r="I135" s="724" t="s">
        <v>703</v>
      </c>
      <c r="J135" s="724" t="s">
        <v>629</v>
      </c>
      <c r="K135" s="732">
        <v>472000</v>
      </c>
      <c r="L135" s="732">
        <f t="shared" si="70"/>
        <v>0</v>
      </c>
      <c r="M135" s="732">
        <v>472000</v>
      </c>
      <c r="N135" s="732">
        <f t="shared" si="67"/>
        <v>0</v>
      </c>
      <c r="O135" s="747">
        <f t="shared" si="68"/>
        <v>100</v>
      </c>
      <c r="P135" s="728" t="s">
        <v>8</v>
      </c>
    </row>
    <row r="136" spans="1:17" s="729" customFormat="1" ht="43.5" customHeight="1" x14ac:dyDescent="0.2">
      <c r="A136" s="917" t="s">
        <v>899</v>
      </c>
      <c r="B136" s="917"/>
      <c r="C136" s="917"/>
      <c r="D136" s="917"/>
      <c r="E136" s="730">
        <v>404000</v>
      </c>
      <c r="F136" s="745">
        <v>0</v>
      </c>
      <c r="G136" s="730">
        <v>404000</v>
      </c>
      <c r="H136" s="737" t="s">
        <v>353</v>
      </c>
      <c r="I136" s="724" t="s">
        <v>703</v>
      </c>
      <c r="J136" s="724" t="s">
        <v>630</v>
      </c>
      <c r="K136" s="732">
        <v>404000</v>
      </c>
      <c r="L136" s="732">
        <f t="shared" si="70"/>
        <v>0</v>
      </c>
      <c r="M136" s="732">
        <v>404000</v>
      </c>
      <c r="N136" s="732">
        <f t="shared" si="67"/>
        <v>0</v>
      </c>
      <c r="O136" s="747">
        <f t="shared" si="68"/>
        <v>100</v>
      </c>
      <c r="P136" s="728" t="s">
        <v>8</v>
      </c>
    </row>
    <row r="137" spans="1:17" ht="43.5" customHeight="1" x14ac:dyDescent="0.2">
      <c r="A137" s="912" t="s">
        <v>998</v>
      </c>
      <c r="B137" s="912"/>
      <c r="C137" s="912"/>
      <c r="D137" s="912"/>
      <c r="E137" s="476">
        <f>F137+G137</f>
        <v>20000000</v>
      </c>
      <c r="F137" s="498"/>
      <c r="G137" s="476">
        <v>20000000</v>
      </c>
      <c r="H137" s="751" t="s">
        <v>1043</v>
      </c>
      <c r="I137" s="465"/>
      <c r="J137" s="465"/>
      <c r="K137" s="527"/>
      <c r="L137" s="527"/>
      <c r="M137" s="489"/>
      <c r="N137" s="489"/>
      <c r="O137" s="497"/>
      <c r="P137" s="208" t="s">
        <v>29</v>
      </c>
    </row>
    <row r="138" spans="1:17" ht="43.5" customHeight="1" x14ac:dyDescent="0.2">
      <c r="A138" s="912" t="s">
        <v>999</v>
      </c>
      <c r="B138" s="912"/>
      <c r="C138" s="912"/>
      <c r="D138" s="912"/>
      <c r="E138" s="476">
        <f>F138+G138</f>
        <v>5400000</v>
      </c>
      <c r="F138" s="498"/>
      <c r="G138" s="476">
        <v>5400000</v>
      </c>
      <c r="H138" s="530"/>
      <c r="I138" s="465"/>
      <c r="J138" s="465"/>
      <c r="K138" s="527"/>
      <c r="L138" s="527"/>
      <c r="M138" s="489"/>
      <c r="N138" s="489"/>
      <c r="O138" s="497"/>
      <c r="P138" s="208" t="s">
        <v>5</v>
      </c>
    </row>
    <row r="139" spans="1:17" s="663" customFormat="1" ht="40.5" customHeight="1" x14ac:dyDescent="0.2">
      <c r="A139" s="920" t="s">
        <v>788</v>
      </c>
      <c r="B139" s="920"/>
      <c r="C139" s="920"/>
      <c r="D139" s="920"/>
      <c r="E139" s="664">
        <f>E140+E143+E144+E147+E148+E149+E150+E160+E181+E184+E201+E204+E209</f>
        <v>348412600</v>
      </c>
      <c r="F139" s="664">
        <f>F140+F143+F144+F147+F148+F149+F150+F160+F181+F184+F201+F204+F209</f>
        <v>47500000</v>
      </c>
      <c r="G139" s="664">
        <f>G140+G143+G144+G147+G148+G149+G150+G160+G181+G184+G201+G204+G209</f>
        <v>300912600</v>
      </c>
      <c r="H139" s="665"/>
      <c r="I139" s="665"/>
      <c r="J139" s="665"/>
      <c r="K139" s="666">
        <f>K140+K143+K144+K147+K148+K149+K150+K160+K181+K184+K201+K204+K209</f>
        <v>290848147.52999997</v>
      </c>
      <c r="L139" s="666">
        <f>L140+L144+L150+L160+L181+L184+L201+L204</f>
        <v>10064452.470000001</v>
      </c>
      <c r="M139" s="666">
        <f>M140+M143+M144+M147+M148+M149+M150+M160+M181+M184+M201+M204+M209</f>
        <v>70487439</v>
      </c>
      <c r="N139" s="666">
        <f>N140+N143+N144+N147+N148+N149+N150+N160+N181+N184+N201+N204+N209</f>
        <v>267860708.53</v>
      </c>
      <c r="O139" s="666">
        <f>M139*100/E139</f>
        <v>20.23102465295457</v>
      </c>
      <c r="P139" s="667"/>
    </row>
    <row r="140" spans="1:17" ht="29.25" customHeight="1" x14ac:dyDescent="0.2">
      <c r="A140" s="919" t="s">
        <v>789</v>
      </c>
      <c r="B140" s="919"/>
      <c r="C140" s="919"/>
      <c r="D140" s="919"/>
      <c r="E140" s="499">
        <f>E141</f>
        <v>12000000</v>
      </c>
      <c r="F140" s="499">
        <f t="shared" ref="F140:G141" si="71">F141</f>
        <v>12000000</v>
      </c>
      <c r="G140" s="499">
        <f t="shared" si="71"/>
        <v>0</v>
      </c>
      <c r="H140" s="500"/>
      <c r="I140" s="500"/>
      <c r="J140" s="500"/>
      <c r="K140" s="518">
        <f>K141</f>
        <v>0</v>
      </c>
      <c r="L140" s="518">
        <f t="shared" ref="L140:N140" si="72">L141</f>
        <v>0</v>
      </c>
      <c r="M140" s="518">
        <f t="shared" si="72"/>
        <v>0</v>
      </c>
      <c r="N140" s="518">
        <f t="shared" si="72"/>
        <v>12000000</v>
      </c>
      <c r="O140" s="518">
        <f>M140*100/E140</f>
        <v>0</v>
      </c>
      <c r="P140" s="466"/>
    </row>
    <row r="141" spans="1:17" s="474" customFormat="1" ht="30" customHeight="1" x14ac:dyDescent="0.2">
      <c r="A141" s="914" t="s">
        <v>790</v>
      </c>
      <c r="B141" s="914"/>
      <c r="C141" s="914"/>
      <c r="D141" s="914"/>
      <c r="E141" s="501">
        <f>E142</f>
        <v>12000000</v>
      </c>
      <c r="F141" s="501">
        <f t="shared" si="71"/>
        <v>12000000</v>
      </c>
      <c r="G141" s="501">
        <f t="shared" si="71"/>
        <v>0</v>
      </c>
      <c r="H141" s="502"/>
      <c r="I141" s="502"/>
      <c r="J141" s="502"/>
      <c r="K141" s="519">
        <f>K142</f>
        <v>0</v>
      </c>
      <c r="L141" s="519">
        <f t="shared" ref="L141:N141" si="73">L142</f>
        <v>0</v>
      </c>
      <c r="M141" s="519">
        <f t="shared" si="73"/>
        <v>0</v>
      </c>
      <c r="N141" s="519">
        <f t="shared" si="73"/>
        <v>12000000</v>
      </c>
      <c r="O141" s="519">
        <f>M141*100/E141</f>
        <v>0</v>
      </c>
      <c r="P141" s="216"/>
    </row>
    <row r="142" spans="1:17" ht="68.25" customHeight="1" x14ac:dyDescent="0.2">
      <c r="A142" s="912" t="s">
        <v>898</v>
      </c>
      <c r="B142" s="912"/>
      <c r="C142" s="912"/>
      <c r="D142" s="912"/>
      <c r="E142" s="481">
        <v>12000000</v>
      </c>
      <c r="F142" s="611">
        <v>12000000</v>
      </c>
      <c r="G142" s="503">
        <v>0</v>
      </c>
      <c r="H142" s="321" t="s">
        <v>862</v>
      </c>
      <c r="I142" s="504"/>
      <c r="J142" s="504"/>
      <c r="K142" s="520"/>
      <c r="L142" s="520"/>
      <c r="M142" s="520"/>
      <c r="N142" s="750">
        <f>E142-M142</f>
        <v>12000000</v>
      </c>
      <c r="O142" s="520">
        <f>M142*100/E142</f>
        <v>0</v>
      </c>
      <c r="P142" s="208" t="s">
        <v>460</v>
      </c>
    </row>
    <row r="143" spans="1:17" hidden="1" x14ac:dyDescent="0.2">
      <c r="A143" s="919" t="s">
        <v>791</v>
      </c>
      <c r="B143" s="919"/>
      <c r="C143" s="919"/>
      <c r="D143" s="919"/>
      <c r="E143" s="499">
        <v>0</v>
      </c>
      <c r="F143" s="505"/>
      <c r="G143" s="505"/>
      <c r="H143" s="506"/>
      <c r="I143" s="506"/>
      <c r="J143" s="506"/>
      <c r="K143" s="521"/>
      <c r="L143" s="521"/>
      <c r="M143" s="521"/>
      <c r="N143" s="521"/>
      <c r="O143" s="521"/>
      <c r="P143" s="466"/>
    </row>
    <row r="144" spans="1:17" ht="46.5" customHeight="1" x14ac:dyDescent="0.2">
      <c r="A144" s="919" t="s">
        <v>792</v>
      </c>
      <c r="B144" s="919"/>
      <c r="C144" s="919"/>
      <c r="D144" s="919"/>
      <c r="E144" s="499">
        <f>E145+E146</f>
        <v>40000000</v>
      </c>
      <c r="F144" s="499">
        <f t="shared" ref="F144:G144" si="74">F145+F146</f>
        <v>0</v>
      </c>
      <c r="G144" s="499">
        <f t="shared" si="74"/>
        <v>40000000</v>
      </c>
      <c r="H144" s="506"/>
      <c r="I144" s="506"/>
      <c r="J144" s="506"/>
      <c r="K144" s="518">
        <f>K145+K146</f>
        <v>36958148.530000001</v>
      </c>
      <c r="L144" s="518">
        <f t="shared" ref="L144:N144" si="75">L145+L146</f>
        <v>3041851.4700000007</v>
      </c>
      <c r="M144" s="518">
        <f t="shared" si="75"/>
        <v>0</v>
      </c>
      <c r="N144" s="518">
        <f t="shared" si="75"/>
        <v>36958148.530000001</v>
      </c>
      <c r="O144" s="521">
        <f>M144*100/E144</f>
        <v>0</v>
      </c>
      <c r="P144" s="466"/>
    </row>
    <row r="145" spans="1:16" s="663" customFormat="1" ht="75" x14ac:dyDescent="0.2">
      <c r="A145" s="921" t="s">
        <v>793</v>
      </c>
      <c r="B145" s="921"/>
      <c r="C145" s="921"/>
      <c r="D145" s="921"/>
      <c r="E145" s="675">
        <v>18000000</v>
      </c>
      <c r="F145" s="676">
        <v>0</v>
      </c>
      <c r="G145" s="675">
        <v>18000000</v>
      </c>
      <c r="H145" s="114" t="s">
        <v>860</v>
      </c>
      <c r="I145" s="114" t="s">
        <v>956</v>
      </c>
      <c r="J145" s="465" t="s">
        <v>1034</v>
      </c>
      <c r="K145" s="517">
        <v>14958948.529999999</v>
      </c>
      <c r="L145" s="517">
        <f>G145-K145</f>
        <v>3041051.4700000007</v>
      </c>
      <c r="M145" s="677"/>
      <c r="N145" s="517">
        <f>E145-M145-L145</f>
        <v>14958948.529999999</v>
      </c>
      <c r="O145" s="677">
        <f>M145*100/E145</f>
        <v>0</v>
      </c>
      <c r="P145" s="295" t="s">
        <v>538</v>
      </c>
    </row>
    <row r="146" spans="1:16" s="663" customFormat="1" ht="56.25" x14ac:dyDescent="0.2">
      <c r="A146" s="921" t="s">
        <v>941</v>
      </c>
      <c r="B146" s="921"/>
      <c r="C146" s="921"/>
      <c r="D146" s="921"/>
      <c r="E146" s="675">
        <v>22000000</v>
      </c>
      <c r="F146" s="675">
        <v>0</v>
      </c>
      <c r="G146" s="675">
        <v>22000000</v>
      </c>
      <c r="H146" s="114" t="s">
        <v>860</v>
      </c>
      <c r="I146" s="114" t="s">
        <v>955</v>
      </c>
      <c r="J146" s="465" t="s">
        <v>1034</v>
      </c>
      <c r="K146" s="517">
        <v>21999200</v>
      </c>
      <c r="L146" s="517">
        <f>G146-K146</f>
        <v>800</v>
      </c>
      <c r="M146" s="517"/>
      <c r="N146" s="517">
        <f>E146-M146-L146</f>
        <v>21999200</v>
      </c>
      <c r="O146" s="677">
        <f>M146*100/E146</f>
        <v>0</v>
      </c>
      <c r="P146" s="295" t="s">
        <v>538</v>
      </c>
    </row>
    <row r="147" spans="1:16" hidden="1" x14ac:dyDescent="0.2">
      <c r="A147" s="919" t="s">
        <v>794</v>
      </c>
      <c r="B147" s="919"/>
      <c r="C147" s="919"/>
      <c r="D147" s="919"/>
      <c r="E147" s="483">
        <v>0</v>
      </c>
      <c r="F147" s="505"/>
      <c r="G147" s="505"/>
      <c r="H147" s="506"/>
      <c r="I147" s="506"/>
      <c r="J147" s="506"/>
      <c r="K147" s="521"/>
      <c r="L147" s="521"/>
      <c r="M147" s="521"/>
      <c r="N147" s="521"/>
      <c r="O147" s="521"/>
      <c r="P147" s="466"/>
    </row>
    <row r="148" spans="1:16" hidden="1" x14ac:dyDescent="0.2">
      <c r="A148" s="919" t="s">
        <v>795</v>
      </c>
      <c r="B148" s="919"/>
      <c r="C148" s="919"/>
      <c r="D148" s="919"/>
      <c r="E148" s="483">
        <v>0</v>
      </c>
      <c r="F148" s="505"/>
      <c r="G148" s="505"/>
      <c r="H148" s="506"/>
      <c r="I148" s="506"/>
      <c r="J148" s="506"/>
      <c r="K148" s="521"/>
      <c r="L148" s="521"/>
      <c r="M148" s="521"/>
      <c r="N148" s="521"/>
      <c r="O148" s="521"/>
      <c r="P148" s="466"/>
    </row>
    <row r="149" spans="1:16" hidden="1" x14ac:dyDescent="0.2">
      <c r="A149" s="919" t="s">
        <v>796</v>
      </c>
      <c r="B149" s="919"/>
      <c r="C149" s="919"/>
      <c r="D149" s="919"/>
      <c r="E149" s="483">
        <v>0</v>
      </c>
      <c r="F149" s="505"/>
      <c r="G149" s="505"/>
      <c r="H149" s="506"/>
      <c r="I149" s="506"/>
      <c r="J149" s="506"/>
      <c r="K149" s="521"/>
      <c r="L149" s="521"/>
      <c r="M149" s="521"/>
      <c r="N149" s="521"/>
      <c r="O149" s="521"/>
      <c r="P149" s="466"/>
    </row>
    <row r="150" spans="1:16" ht="30.75" customHeight="1" x14ac:dyDescent="0.2">
      <c r="A150" s="919" t="s">
        <v>797</v>
      </c>
      <c r="B150" s="919"/>
      <c r="C150" s="919"/>
      <c r="D150" s="919"/>
      <c r="E150" s="483">
        <f>E151</f>
        <v>9300000</v>
      </c>
      <c r="F150" s="483">
        <f t="shared" ref="F150:G150" si="76">F151</f>
        <v>0</v>
      </c>
      <c r="G150" s="483">
        <f t="shared" si="76"/>
        <v>9300000</v>
      </c>
      <c r="H150" s="506"/>
      <c r="I150" s="506"/>
      <c r="J150" s="506"/>
      <c r="K150" s="485">
        <f>K151</f>
        <v>9144000</v>
      </c>
      <c r="L150" s="485">
        <f t="shared" ref="L150:N150" si="77">L151</f>
        <v>156000</v>
      </c>
      <c r="M150" s="485">
        <f t="shared" si="77"/>
        <v>0</v>
      </c>
      <c r="N150" s="485">
        <f t="shared" si="77"/>
        <v>9144000</v>
      </c>
      <c r="O150" s="521">
        <f>M150*100/E150</f>
        <v>0</v>
      </c>
      <c r="P150" s="466"/>
    </row>
    <row r="151" spans="1:16" ht="63.75" customHeight="1" x14ac:dyDescent="0.2">
      <c r="A151" s="929" t="s">
        <v>798</v>
      </c>
      <c r="B151" s="929"/>
      <c r="C151" s="929"/>
      <c r="D151" s="929"/>
      <c r="E151" s="507">
        <v>9300000</v>
      </c>
      <c r="F151" s="507">
        <v>0</v>
      </c>
      <c r="G151" s="507">
        <v>9300000</v>
      </c>
      <c r="H151" s="114" t="s">
        <v>860</v>
      </c>
      <c r="I151" s="114" t="s">
        <v>696</v>
      </c>
      <c r="J151" s="465" t="s">
        <v>697</v>
      </c>
      <c r="K151" s="517">
        <v>9144000</v>
      </c>
      <c r="L151" s="522">
        <f>G151-K151</f>
        <v>156000</v>
      </c>
      <c r="M151" s="522"/>
      <c r="N151" s="522">
        <f>E151-M151-L151</f>
        <v>9144000</v>
      </c>
      <c r="O151" s="522">
        <f>M151*100/E151</f>
        <v>0</v>
      </c>
      <c r="P151" s="217" t="s">
        <v>407</v>
      </c>
    </row>
    <row r="152" spans="1:16" ht="42" hidden="1" x14ac:dyDescent="0.2">
      <c r="A152" s="562"/>
      <c r="B152" s="562"/>
      <c r="C152" s="562"/>
      <c r="D152" s="565" t="s">
        <v>799</v>
      </c>
      <c r="E152" s="507"/>
      <c r="F152" s="507"/>
      <c r="G152" s="507"/>
      <c r="H152" s="508"/>
      <c r="I152" s="508"/>
      <c r="J152" s="508"/>
      <c r="K152" s="522"/>
      <c r="L152" s="522"/>
      <c r="M152" s="522"/>
      <c r="N152" s="522"/>
      <c r="O152" s="522"/>
      <c r="P152" s="217"/>
    </row>
    <row r="153" spans="1:16" ht="42" hidden="1" x14ac:dyDescent="0.2">
      <c r="A153" s="562"/>
      <c r="B153" s="562"/>
      <c r="C153" s="562"/>
      <c r="D153" s="565" t="s">
        <v>800</v>
      </c>
      <c r="E153" s="507"/>
      <c r="F153" s="507"/>
      <c r="G153" s="507"/>
      <c r="H153" s="508"/>
      <c r="I153" s="508"/>
      <c r="J153" s="508"/>
      <c r="K153" s="522"/>
      <c r="L153" s="522"/>
      <c r="M153" s="522"/>
      <c r="N153" s="522"/>
      <c r="O153" s="522"/>
      <c r="P153" s="217"/>
    </row>
    <row r="154" spans="1:16" ht="42" hidden="1" x14ac:dyDescent="0.2">
      <c r="A154" s="562"/>
      <c r="B154" s="562"/>
      <c r="C154" s="562"/>
      <c r="D154" s="565" t="s">
        <v>801</v>
      </c>
      <c r="E154" s="507"/>
      <c r="F154" s="507"/>
      <c r="G154" s="507"/>
      <c r="H154" s="508"/>
      <c r="I154" s="508"/>
      <c r="J154" s="508"/>
      <c r="K154" s="522"/>
      <c r="L154" s="522"/>
      <c r="M154" s="522"/>
      <c r="N154" s="522"/>
      <c r="O154" s="522"/>
      <c r="P154" s="217"/>
    </row>
    <row r="155" spans="1:16" ht="42" hidden="1" x14ac:dyDescent="0.2">
      <c r="A155" s="562"/>
      <c r="B155" s="562"/>
      <c r="C155" s="562"/>
      <c r="D155" s="565" t="s">
        <v>802</v>
      </c>
      <c r="E155" s="507"/>
      <c r="F155" s="507"/>
      <c r="G155" s="507"/>
      <c r="H155" s="508"/>
      <c r="I155" s="508"/>
      <c r="J155" s="508"/>
      <c r="K155" s="522"/>
      <c r="L155" s="522"/>
      <c r="M155" s="522"/>
      <c r="N155" s="522"/>
      <c r="O155" s="522"/>
      <c r="P155" s="217"/>
    </row>
    <row r="156" spans="1:16" ht="42" hidden="1" x14ac:dyDescent="0.2">
      <c r="A156" s="562"/>
      <c r="B156" s="562"/>
      <c r="C156" s="562"/>
      <c r="D156" s="565" t="s">
        <v>803</v>
      </c>
      <c r="E156" s="507"/>
      <c r="F156" s="507"/>
      <c r="G156" s="507"/>
      <c r="H156" s="508"/>
      <c r="I156" s="508"/>
      <c r="J156" s="508"/>
      <c r="K156" s="522"/>
      <c r="L156" s="522"/>
      <c r="M156" s="522"/>
      <c r="N156" s="522"/>
      <c r="O156" s="522"/>
      <c r="P156" s="217"/>
    </row>
    <row r="157" spans="1:16" ht="84" hidden="1" x14ac:dyDescent="0.2">
      <c r="A157" s="562"/>
      <c r="B157" s="562"/>
      <c r="C157" s="562"/>
      <c r="D157" s="565" t="s">
        <v>804</v>
      </c>
      <c r="E157" s="507"/>
      <c r="F157" s="507"/>
      <c r="G157" s="507"/>
      <c r="H157" s="508"/>
      <c r="I157" s="508"/>
      <c r="J157" s="508"/>
      <c r="K157" s="522"/>
      <c r="L157" s="522"/>
      <c r="M157" s="522"/>
      <c r="N157" s="522"/>
      <c r="O157" s="522"/>
      <c r="P157" s="217"/>
    </row>
    <row r="158" spans="1:16" ht="63" hidden="1" x14ac:dyDescent="0.2">
      <c r="A158" s="562"/>
      <c r="B158" s="562"/>
      <c r="C158" s="562"/>
      <c r="D158" s="565" t="s">
        <v>805</v>
      </c>
      <c r="E158" s="507"/>
      <c r="F158" s="507"/>
      <c r="G158" s="507"/>
      <c r="H158" s="508"/>
      <c r="I158" s="508"/>
      <c r="J158" s="508"/>
      <c r="K158" s="522"/>
      <c r="L158" s="522"/>
      <c r="M158" s="522"/>
      <c r="N158" s="522"/>
      <c r="O158" s="522"/>
      <c r="P158" s="217"/>
    </row>
    <row r="159" spans="1:16" ht="63" hidden="1" x14ac:dyDescent="0.2">
      <c r="A159" s="562"/>
      <c r="B159" s="562"/>
      <c r="C159" s="562"/>
      <c r="D159" s="565" t="s">
        <v>806</v>
      </c>
      <c r="E159" s="507"/>
      <c r="F159" s="507"/>
      <c r="G159" s="507"/>
      <c r="H159" s="508"/>
      <c r="I159" s="508"/>
      <c r="J159" s="508"/>
      <c r="K159" s="522"/>
      <c r="L159" s="522"/>
      <c r="M159" s="522"/>
      <c r="N159" s="522"/>
      <c r="O159" s="522"/>
      <c r="P159" s="217"/>
    </row>
    <row r="160" spans="1:16" ht="47.25" customHeight="1" x14ac:dyDescent="0.2">
      <c r="A160" s="919" t="s">
        <v>807</v>
      </c>
      <c r="B160" s="919"/>
      <c r="C160" s="919"/>
      <c r="D160" s="919"/>
      <c r="E160" s="483">
        <f>SUM(E161:E175)</f>
        <v>155805600</v>
      </c>
      <c r="F160" s="483">
        <f t="shared" ref="F160:G160" si="78">SUM(F161:F175)</f>
        <v>0</v>
      </c>
      <c r="G160" s="483">
        <f t="shared" si="78"/>
        <v>155805600</v>
      </c>
      <c r="H160" s="506"/>
      <c r="I160" s="506"/>
      <c r="J160" s="506"/>
      <c r="K160" s="485">
        <f>SUM(K161:K175)</f>
        <v>151848000</v>
      </c>
      <c r="L160" s="485">
        <f t="shared" ref="L160:N160" si="79">SUM(L161:L175)</f>
        <v>3957600</v>
      </c>
      <c r="M160" s="485">
        <f t="shared" si="79"/>
        <v>54209000</v>
      </c>
      <c r="N160" s="485">
        <f t="shared" si="79"/>
        <v>97639000</v>
      </c>
      <c r="O160" s="525">
        <f>M160*100/E160</f>
        <v>34.792716051284422</v>
      </c>
      <c r="P160" s="466"/>
    </row>
    <row r="161" spans="1:16" ht="56.25" customHeight="1" x14ac:dyDescent="0.2">
      <c r="A161" s="918" t="s">
        <v>929</v>
      </c>
      <c r="B161" s="918"/>
      <c r="C161" s="918"/>
      <c r="D161" s="918"/>
      <c r="E161" s="507">
        <v>8000000</v>
      </c>
      <c r="F161" s="566">
        <v>0</v>
      </c>
      <c r="G161" s="507">
        <v>8000000</v>
      </c>
      <c r="H161" s="114" t="s">
        <v>860</v>
      </c>
      <c r="I161" s="114" t="s">
        <v>709</v>
      </c>
      <c r="J161" s="465" t="s">
        <v>710</v>
      </c>
      <c r="K161" s="517">
        <v>7980000</v>
      </c>
      <c r="L161" s="567">
        <f>G161-K161</f>
        <v>20000</v>
      </c>
      <c r="M161" s="567"/>
      <c r="N161" s="567">
        <f>E161-M161-L161</f>
        <v>7980000</v>
      </c>
      <c r="O161" s="567">
        <f>M161*100/E161</f>
        <v>0</v>
      </c>
      <c r="P161" s="217" t="s">
        <v>471</v>
      </c>
    </row>
    <row r="162" spans="1:16" s="729" customFormat="1" ht="42" customHeight="1" x14ac:dyDescent="0.2">
      <c r="A162" s="917" t="s">
        <v>808</v>
      </c>
      <c r="B162" s="917"/>
      <c r="C162" s="917"/>
      <c r="D162" s="917"/>
      <c r="E162" s="745">
        <v>15882000</v>
      </c>
      <c r="F162" s="745">
        <v>0</v>
      </c>
      <c r="G162" s="745">
        <v>15882000</v>
      </c>
      <c r="H162" s="731" t="s">
        <v>353</v>
      </c>
      <c r="I162" s="724" t="s">
        <v>678</v>
      </c>
      <c r="J162" s="724" t="s">
        <v>1033</v>
      </c>
      <c r="K162" s="732">
        <v>15580000</v>
      </c>
      <c r="L162" s="732">
        <f t="shared" ref="L162:L169" si="80">G162-K162</f>
        <v>302000</v>
      </c>
      <c r="M162" s="732">
        <v>15580000</v>
      </c>
      <c r="N162" s="732">
        <f t="shared" ref="N162:N169" si="81">E162-M162-L162</f>
        <v>0</v>
      </c>
      <c r="O162" s="732">
        <v>100</v>
      </c>
      <c r="P162" s="728" t="s">
        <v>5</v>
      </c>
    </row>
    <row r="163" spans="1:16" s="729" customFormat="1" ht="45.75" customHeight="1" x14ac:dyDescent="0.2">
      <c r="A163" s="917" t="s">
        <v>896</v>
      </c>
      <c r="B163" s="917"/>
      <c r="C163" s="917"/>
      <c r="D163" s="917"/>
      <c r="E163" s="745">
        <v>4500000</v>
      </c>
      <c r="F163" s="745">
        <v>0</v>
      </c>
      <c r="G163" s="745">
        <v>4500000</v>
      </c>
      <c r="H163" s="731" t="s">
        <v>353</v>
      </c>
      <c r="I163" s="724" t="s">
        <v>715</v>
      </c>
      <c r="J163" s="724" t="s">
        <v>714</v>
      </c>
      <c r="K163" s="732">
        <v>4098000</v>
      </c>
      <c r="L163" s="732">
        <f t="shared" si="80"/>
        <v>402000</v>
      </c>
      <c r="M163" s="732">
        <v>4098000</v>
      </c>
      <c r="N163" s="732">
        <f t="shared" si="81"/>
        <v>0</v>
      </c>
      <c r="O163" s="732">
        <v>100</v>
      </c>
      <c r="P163" s="728" t="s">
        <v>5</v>
      </c>
    </row>
    <row r="164" spans="1:16" s="729" customFormat="1" ht="46.5" customHeight="1" x14ac:dyDescent="0.2">
      <c r="A164" s="917" t="s">
        <v>897</v>
      </c>
      <c r="B164" s="917"/>
      <c r="C164" s="917"/>
      <c r="D164" s="917"/>
      <c r="E164" s="745">
        <v>3592000</v>
      </c>
      <c r="F164" s="745">
        <v>0</v>
      </c>
      <c r="G164" s="745">
        <v>3592000</v>
      </c>
      <c r="H164" s="731" t="s">
        <v>353</v>
      </c>
      <c r="I164" s="724" t="s">
        <v>716</v>
      </c>
      <c r="J164" s="724" t="s">
        <v>725</v>
      </c>
      <c r="K164" s="732">
        <v>3587000</v>
      </c>
      <c r="L164" s="732">
        <f t="shared" si="80"/>
        <v>5000</v>
      </c>
      <c r="M164" s="732">
        <v>3587000</v>
      </c>
      <c r="N164" s="732">
        <f t="shared" si="81"/>
        <v>0</v>
      </c>
      <c r="O164" s="732">
        <v>100</v>
      </c>
      <c r="P164" s="728" t="s">
        <v>9</v>
      </c>
    </row>
    <row r="165" spans="1:16" s="729" customFormat="1" ht="64.5" customHeight="1" x14ac:dyDescent="0.2">
      <c r="A165" s="917" t="s">
        <v>833</v>
      </c>
      <c r="B165" s="917"/>
      <c r="C165" s="917"/>
      <c r="D165" s="917"/>
      <c r="E165" s="745">
        <v>5832000</v>
      </c>
      <c r="F165" s="745">
        <v>0</v>
      </c>
      <c r="G165" s="745">
        <v>5832000</v>
      </c>
      <c r="H165" s="731" t="s">
        <v>353</v>
      </c>
      <c r="I165" s="724" t="s">
        <v>726</v>
      </c>
      <c r="J165" s="724" t="s">
        <v>725</v>
      </c>
      <c r="K165" s="732">
        <v>5664500</v>
      </c>
      <c r="L165" s="732">
        <f t="shared" si="80"/>
        <v>167500</v>
      </c>
      <c r="M165" s="732">
        <v>5664500</v>
      </c>
      <c r="N165" s="732">
        <f t="shared" si="81"/>
        <v>0</v>
      </c>
      <c r="O165" s="732">
        <v>100</v>
      </c>
      <c r="P165" s="728" t="s">
        <v>9</v>
      </c>
    </row>
    <row r="166" spans="1:16" ht="70.5" customHeight="1" x14ac:dyDescent="0.2">
      <c r="A166" s="918" t="s">
        <v>915</v>
      </c>
      <c r="B166" s="918"/>
      <c r="C166" s="918"/>
      <c r="D166" s="918"/>
      <c r="E166" s="566">
        <v>6282000</v>
      </c>
      <c r="F166" s="566">
        <v>0</v>
      </c>
      <c r="G166" s="566">
        <v>6282000</v>
      </c>
      <c r="H166" s="114" t="s">
        <v>860</v>
      </c>
      <c r="I166" s="465" t="s">
        <v>265</v>
      </c>
      <c r="J166" s="465" t="s">
        <v>705</v>
      </c>
      <c r="K166" s="527">
        <v>4880000</v>
      </c>
      <c r="L166" s="567">
        <f t="shared" si="80"/>
        <v>1402000</v>
      </c>
      <c r="M166" s="567"/>
      <c r="N166" s="567">
        <f t="shared" si="81"/>
        <v>4880000</v>
      </c>
      <c r="O166" s="567">
        <f t="shared" ref="O166:O175" si="82">M166*100/E166</f>
        <v>0</v>
      </c>
      <c r="P166" s="217" t="s">
        <v>4</v>
      </c>
    </row>
    <row r="167" spans="1:16" s="729" customFormat="1" ht="89.25" customHeight="1" x14ac:dyDescent="0.2">
      <c r="A167" s="917" t="s">
        <v>930</v>
      </c>
      <c r="B167" s="917"/>
      <c r="C167" s="917"/>
      <c r="D167" s="917"/>
      <c r="E167" s="745">
        <v>1999600</v>
      </c>
      <c r="F167" s="745">
        <v>0</v>
      </c>
      <c r="G167" s="745">
        <v>1999600</v>
      </c>
      <c r="H167" s="731" t="s">
        <v>860</v>
      </c>
      <c r="I167" s="724"/>
      <c r="J167" s="724" t="s">
        <v>631</v>
      </c>
      <c r="K167" s="732">
        <v>1994500</v>
      </c>
      <c r="L167" s="732">
        <f t="shared" si="80"/>
        <v>5100</v>
      </c>
      <c r="M167" s="732">
        <v>1994500</v>
      </c>
      <c r="N167" s="732">
        <f t="shared" si="81"/>
        <v>0</v>
      </c>
      <c r="O167" s="732">
        <v>100</v>
      </c>
      <c r="P167" s="728" t="s">
        <v>4</v>
      </c>
    </row>
    <row r="168" spans="1:16" s="729" customFormat="1" ht="43.5" customHeight="1" x14ac:dyDescent="0.2">
      <c r="A168" s="917" t="s">
        <v>895</v>
      </c>
      <c r="B168" s="917"/>
      <c r="C168" s="917"/>
      <c r="D168" s="917"/>
      <c r="E168" s="745">
        <v>1518000</v>
      </c>
      <c r="F168" s="745">
        <v>0</v>
      </c>
      <c r="G168" s="745">
        <v>1518000</v>
      </c>
      <c r="H168" s="731" t="s">
        <v>353</v>
      </c>
      <c r="I168" s="724" t="s">
        <v>694</v>
      </c>
      <c r="J168" s="724" t="s">
        <v>632</v>
      </c>
      <c r="K168" s="732">
        <v>1513000</v>
      </c>
      <c r="L168" s="732">
        <f t="shared" si="80"/>
        <v>5000</v>
      </c>
      <c r="M168" s="732">
        <v>1513000</v>
      </c>
      <c r="N168" s="732">
        <f t="shared" si="81"/>
        <v>0</v>
      </c>
      <c r="O168" s="732">
        <v>100</v>
      </c>
      <c r="P168" s="728" t="s">
        <v>4</v>
      </c>
    </row>
    <row r="169" spans="1:16" s="729" customFormat="1" ht="46.5" customHeight="1" x14ac:dyDescent="0.2">
      <c r="A169" s="917" t="s">
        <v>894</v>
      </c>
      <c r="B169" s="917"/>
      <c r="C169" s="917"/>
      <c r="D169" s="917"/>
      <c r="E169" s="745">
        <v>4300000</v>
      </c>
      <c r="F169" s="735">
        <v>0</v>
      </c>
      <c r="G169" s="745">
        <v>4300000</v>
      </c>
      <c r="H169" s="731" t="s">
        <v>860</v>
      </c>
      <c r="I169" s="724" t="s">
        <v>678</v>
      </c>
      <c r="J169" s="724" t="s">
        <v>722</v>
      </c>
      <c r="K169" s="732">
        <v>4270000</v>
      </c>
      <c r="L169" s="732">
        <f t="shared" si="80"/>
        <v>30000</v>
      </c>
      <c r="M169" s="727">
        <v>4270000</v>
      </c>
      <c r="N169" s="732">
        <f t="shared" si="81"/>
        <v>0</v>
      </c>
      <c r="O169" s="732">
        <v>100</v>
      </c>
      <c r="P169" s="728" t="s">
        <v>5</v>
      </c>
    </row>
    <row r="170" spans="1:16" ht="44.25" customHeight="1" x14ac:dyDescent="0.2">
      <c r="A170" s="918" t="s">
        <v>933</v>
      </c>
      <c r="B170" s="918"/>
      <c r="C170" s="918"/>
      <c r="D170" s="918"/>
      <c r="E170" s="507"/>
      <c r="F170" s="481"/>
      <c r="G170" s="481"/>
      <c r="H170" s="493"/>
      <c r="I170" s="493"/>
      <c r="J170" s="493"/>
      <c r="K170" s="516"/>
      <c r="L170" s="516"/>
      <c r="M170" s="516"/>
      <c r="N170" s="516"/>
      <c r="O170" s="567"/>
      <c r="P170" s="217"/>
    </row>
    <row r="171" spans="1:16" s="729" customFormat="1" ht="47.25" customHeight="1" x14ac:dyDescent="0.2">
      <c r="A171" s="917" t="s">
        <v>809</v>
      </c>
      <c r="B171" s="917"/>
      <c r="C171" s="917"/>
      <c r="D171" s="917"/>
      <c r="E171" s="736">
        <v>3900000</v>
      </c>
      <c r="F171" s="736">
        <v>0</v>
      </c>
      <c r="G171" s="736">
        <v>3900000</v>
      </c>
      <c r="H171" s="731" t="s">
        <v>353</v>
      </c>
      <c r="I171" s="731" t="s">
        <v>695</v>
      </c>
      <c r="J171" s="724" t="s">
        <v>634</v>
      </c>
      <c r="K171" s="727">
        <v>2541000</v>
      </c>
      <c r="L171" s="727">
        <f>G171-K171</f>
        <v>1359000</v>
      </c>
      <c r="M171" s="727">
        <v>2541000</v>
      </c>
      <c r="N171" s="727">
        <f>E171-M171-L171</f>
        <v>0</v>
      </c>
      <c r="O171" s="732">
        <v>100</v>
      </c>
      <c r="P171" s="728" t="s">
        <v>407</v>
      </c>
    </row>
    <row r="172" spans="1:16" ht="43.5" customHeight="1" x14ac:dyDescent="0.2">
      <c r="A172" s="918" t="s">
        <v>934</v>
      </c>
      <c r="B172" s="918"/>
      <c r="C172" s="918"/>
      <c r="D172" s="918"/>
      <c r="E172" s="507"/>
      <c r="F172" s="478"/>
      <c r="G172" s="478"/>
      <c r="H172" s="480"/>
      <c r="I172" s="480"/>
      <c r="J172" s="480"/>
      <c r="K172" s="479"/>
      <c r="L172" s="479"/>
      <c r="M172" s="479"/>
      <c r="N172" s="479"/>
      <c r="O172" s="567"/>
      <c r="P172" s="217"/>
    </row>
    <row r="173" spans="1:16" ht="60.75" customHeight="1" x14ac:dyDescent="0.2">
      <c r="A173" s="918" t="s">
        <v>893</v>
      </c>
      <c r="B173" s="918"/>
      <c r="C173" s="918"/>
      <c r="D173" s="918"/>
      <c r="E173" s="507">
        <v>50000000</v>
      </c>
      <c r="F173" s="481">
        <v>0</v>
      </c>
      <c r="G173" s="507">
        <v>50000000</v>
      </c>
      <c r="H173" s="114" t="s">
        <v>860</v>
      </c>
      <c r="I173" s="568" t="s">
        <v>699</v>
      </c>
      <c r="J173" s="365" t="s">
        <v>727</v>
      </c>
      <c r="K173" s="522">
        <v>49890000</v>
      </c>
      <c r="L173" s="516">
        <f>G173-K173</f>
        <v>110000</v>
      </c>
      <c r="M173" s="516">
        <v>7483500</v>
      </c>
      <c r="N173" s="516">
        <f>E173-M173-L173</f>
        <v>42406500</v>
      </c>
      <c r="O173" s="567">
        <f t="shared" si="82"/>
        <v>14.967000000000001</v>
      </c>
      <c r="P173" s="217" t="s">
        <v>471</v>
      </c>
    </row>
    <row r="174" spans="1:16" s="510" customFormat="1" ht="42.75" customHeight="1" x14ac:dyDescent="0.2">
      <c r="A174" s="918" t="s">
        <v>892</v>
      </c>
      <c r="B174" s="918"/>
      <c r="C174" s="918"/>
      <c r="D174" s="918"/>
      <c r="E174" s="509"/>
      <c r="F174" s="512"/>
      <c r="G174" s="512"/>
      <c r="H174" s="513"/>
      <c r="I174" s="513"/>
      <c r="J174" s="513"/>
      <c r="K174" s="522"/>
      <c r="L174" s="522"/>
      <c r="M174" s="522"/>
      <c r="N174" s="522"/>
      <c r="O174" s="567"/>
      <c r="P174" s="217"/>
    </row>
    <row r="175" spans="1:16" ht="43.5" customHeight="1" x14ac:dyDescent="0.2">
      <c r="A175" s="918" t="s">
        <v>935</v>
      </c>
      <c r="B175" s="918"/>
      <c r="C175" s="918"/>
      <c r="D175" s="918"/>
      <c r="E175" s="507">
        <v>50000000</v>
      </c>
      <c r="F175" s="507">
        <v>0</v>
      </c>
      <c r="G175" s="507">
        <v>50000000</v>
      </c>
      <c r="H175" s="114" t="s">
        <v>860</v>
      </c>
      <c r="I175" s="321" t="s">
        <v>699</v>
      </c>
      <c r="J175" s="365" t="s">
        <v>627</v>
      </c>
      <c r="K175" s="522">
        <v>49850000</v>
      </c>
      <c r="L175" s="522">
        <f>G175-K175</f>
        <v>150000</v>
      </c>
      <c r="M175" s="522">
        <v>7477500</v>
      </c>
      <c r="N175" s="522">
        <f>E175-M175-L175</f>
        <v>42372500</v>
      </c>
      <c r="O175" s="567">
        <f t="shared" si="82"/>
        <v>14.955</v>
      </c>
      <c r="P175" s="217" t="s">
        <v>407</v>
      </c>
    </row>
    <row r="176" spans="1:16" ht="72" customHeight="1" x14ac:dyDescent="0.2">
      <c r="A176" s="918" t="s">
        <v>1000</v>
      </c>
      <c r="B176" s="918"/>
      <c r="C176" s="918"/>
      <c r="D176" s="918"/>
      <c r="E176" s="507"/>
      <c r="F176" s="507"/>
      <c r="G176" s="507">
        <v>5430000</v>
      </c>
      <c r="H176" s="114"/>
      <c r="I176" s="321"/>
      <c r="J176" s="365"/>
      <c r="K176" s="522"/>
      <c r="L176" s="522"/>
      <c r="M176" s="522"/>
      <c r="N176" s="522"/>
      <c r="O176" s="567"/>
      <c r="P176" s="217" t="s">
        <v>5</v>
      </c>
    </row>
    <row r="177" spans="1:16" ht="50.25" customHeight="1" x14ac:dyDescent="0.2">
      <c r="A177" s="918" t="s">
        <v>1001</v>
      </c>
      <c r="B177" s="918"/>
      <c r="C177" s="918"/>
      <c r="D177" s="918"/>
      <c r="E177" s="507"/>
      <c r="F177" s="507"/>
      <c r="G177" s="507">
        <v>2200000</v>
      </c>
      <c r="H177" s="114"/>
      <c r="I177" s="321"/>
      <c r="J177" s="365"/>
      <c r="K177" s="522"/>
      <c r="L177" s="522"/>
      <c r="M177" s="522"/>
      <c r="N177" s="522"/>
      <c r="O177" s="567"/>
      <c r="P177" s="217" t="s">
        <v>5</v>
      </c>
    </row>
    <row r="178" spans="1:16" ht="43.5" customHeight="1" x14ac:dyDescent="0.2">
      <c r="A178" s="918" t="s">
        <v>1002</v>
      </c>
      <c r="B178" s="918"/>
      <c r="C178" s="918"/>
      <c r="D178" s="918"/>
      <c r="E178" s="507"/>
      <c r="F178" s="507"/>
      <c r="G178" s="507">
        <v>12000000</v>
      </c>
      <c r="H178" s="114"/>
      <c r="I178" s="321"/>
      <c r="J178" s="365"/>
      <c r="K178" s="522"/>
      <c r="L178" s="522"/>
      <c r="M178" s="522"/>
      <c r="N178" s="522"/>
      <c r="O178" s="567"/>
      <c r="P178" s="217" t="s">
        <v>5</v>
      </c>
    </row>
    <row r="179" spans="1:16" ht="43.5" customHeight="1" x14ac:dyDescent="0.2">
      <c r="A179" s="918" t="s">
        <v>1003</v>
      </c>
      <c r="B179" s="918"/>
      <c r="C179" s="918"/>
      <c r="D179" s="918"/>
      <c r="E179" s="507"/>
      <c r="F179" s="507"/>
      <c r="G179" s="507">
        <v>2019000</v>
      </c>
      <c r="H179" s="114" t="s">
        <v>860</v>
      </c>
      <c r="I179" s="321" t="s">
        <v>694</v>
      </c>
      <c r="J179" s="365" t="s">
        <v>1047</v>
      </c>
      <c r="K179" s="522">
        <v>2014000</v>
      </c>
      <c r="L179" s="522">
        <f>G179-K179</f>
        <v>5000</v>
      </c>
      <c r="M179" s="522"/>
      <c r="N179" s="522"/>
      <c r="O179" s="567"/>
      <c r="P179" s="217" t="s">
        <v>4</v>
      </c>
    </row>
    <row r="180" spans="1:16" ht="43.5" customHeight="1" x14ac:dyDescent="0.2">
      <c r="A180" s="918" t="s">
        <v>1004</v>
      </c>
      <c r="B180" s="918"/>
      <c r="C180" s="918"/>
      <c r="D180" s="918"/>
      <c r="E180" s="507"/>
      <c r="F180" s="507"/>
      <c r="G180" s="507">
        <v>3628000</v>
      </c>
      <c r="H180" s="114" t="s">
        <v>860</v>
      </c>
      <c r="I180" s="321" t="s">
        <v>726</v>
      </c>
      <c r="J180" s="365" t="s">
        <v>1048</v>
      </c>
      <c r="K180" s="522">
        <v>3626000</v>
      </c>
      <c r="L180" s="522">
        <f>G180-K180</f>
        <v>2000</v>
      </c>
      <c r="M180" s="522"/>
      <c r="N180" s="522"/>
      <c r="O180" s="567"/>
      <c r="P180" s="217" t="s">
        <v>4</v>
      </c>
    </row>
    <row r="181" spans="1:16" s="474" customFormat="1" ht="27.75" customHeight="1" x14ac:dyDescent="0.2">
      <c r="A181" s="914" t="s">
        <v>810</v>
      </c>
      <c r="B181" s="914"/>
      <c r="C181" s="914"/>
      <c r="D181" s="914"/>
      <c r="E181" s="486">
        <f>E183</f>
        <v>10000000</v>
      </c>
      <c r="F181" s="486">
        <f t="shared" ref="F181:G181" si="83">F183</f>
        <v>10000000</v>
      </c>
      <c r="G181" s="486">
        <f t="shared" si="83"/>
        <v>0</v>
      </c>
      <c r="H181" s="511"/>
      <c r="I181" s="511"/>
      <c r="J181" s="511"/>
      <c r="K181" s="488">
        <f>K183</f>
        <v>0</v>
      </c>
      <c r="L181" s="488">
        <f t="shared" ref="L181:N181" si="84">L183</f>
        <v>0</v>
      </c>
      <c r="M181" s="488">
        <f t="shared" si="84"/>
        <v>0</v>
      </c>
      <c r="N181" s="488">
        <f t="shared" si="84"/>
        <v>10000000</v>
      </c>
      <c r="O181" s="519">
        <f>M181*100/E181</f>
        <v>0</v>
      </c>
      <c r="P181" s="216"/>
    </row>
    <row r="182" spans="1:16" ht="27" customHeight="1" x14ac:dyDescent="0.2">
      <c r="A182" s="918" t="s">
        <v>811</v>
      </c>
      <c r="B182" s="918"/>
      <c r="C182" s="918"/>
      <c r="D182" s="918"/>
      <c r="E182" s="507"/>
      <c r="F182" s="507"/>
      <c r="G182" s="507"/>
      <c r="H182" s="508"/>
      <c r="I182" s="508"/>
      <c r="J182" s="508"/>
      <c r="K182" s="522"/>
      <c r="L182" s="522"/>
      <c r="M182" s="522"/>
      <c r="N182" s="522"/>
      <c r="O182" s="522"/>
      <c r="P182" s="217"/>
    </row>
    <row r="183" spans="1:16" ht="57.75" customHeight="1" x14ac:dyDescent="0.2">
      <c r="A183" s="918" t="s">
        <v>812</v>
      </c>
      <c r="B183" s="918"/>
      <c r="C183" s="918"/>
      <c r="D183" s="918"/>
      <c r="E183" s="507">
        <v>10000000</v>
      </c>
      <c r="F183" s="507">
        <v>10000000</v>
      </c>
      <c r="G183" s="507">
        <v>0</v>
      </c>
      <c r="H183" s="321" t="s">
        <v>862</v>
      </c>
      <c r="I183" s="508"/>
      <c r="J183" s="508"/>
      <c r="K183" s="522"/>
      <c r="L183" s="522"/>
      <c r="M183" s="522"/>
      <c r="N183" s="522">
        <f>E183-M183</f>
        <v>10000000</v>
      </c>
      <c r="O183" s="522">
        <f>M183*100/E183</f>
        <v>0</v>
      </c>
      <c r="P183" s="217" t="s">
        <v>460</v>
      </c>
    </row>
    <row r="184" spans="1:16" s="474" customFormat="1" ht="30" customHeight="1" x14ac:dyDescent="0.2">
      <c r="A184" s="914" t="s">
        <v>813</v>
      </c>
      <c r="B184" s="914"/>
      <c r="C184" s="914"/>
      <c r="D184" s="914"/>
      <c r="E184" s="486">
        <f>SUM(E185:E200)</f>
        <v>95807000</v>
      </c>
      <c r="F184" s="486">
        <f>SUM(F185:F200)</f>
        <v>0</v>
      </c>
      <c r="G184" s="486">
        <f>SUM(G185:G200)</f>
        <v>95807000</v>
      </c>
      <c r="H184" s="511"/>
      <c r="I184" s="511"/>
      <c r="J184" s="511"/>
      <c r="K184" s="488">
        <f>SUM(K185:K200)</f>
        <v>92897999</v>
      </c>
      <c r="L184" s="488">
        <f>SUM(L185:L200)</f>
        <v>2909001</v>
      </c>
      <c r="M184" s="488">
        <f>SUM(M185:M200)</f>
        <v>13810649</v>
      </c>
      <c r="N184" s="488">
        <f>SUM(N185:N200)</f>
        <v>79087350</v>
      </c>
      <c r="O184" s="519">
        <f>M184*100/E184</f>
        <v>14.415073011366601</v>
      </c>
      <c r="P184" s="216"/>
    </row>
    <row r="185" spans="1:16" ht="44.25" customHeight="1" x14ac:dyDescent="0.2">
      <c r="A185" s="918" t="s">
        <v>891</v>
      </c>
      <c r="B185" s="918"/>
      <c r="C185" s="918"/>
      <c r="D185" s="918"/>
      <c r="E185" s="507">
        <v>1000000</v>
      </c>
      <c r="F185" s="509">
        <v>0</v>
      </c>
      <c r="G185" s="507">
        <v>1000000</v>
      </c>
      <c r="H185" s="114" t="s">
        <v>860</v>
      </c>
      <c r="I185" s="572" t="s">
        <v>875</v>
      </c>
      <c r="J185" s="344" t="s">
        <v>876</v>
      </c>
      <c r="K185" s="517">
        <v>890000</v>
      </c>
      <c r="L185" s="523">
        <f>G185-K185</f>
        <v>110000</v>
      </c>
      <c r="M185" s="523"/>
      <c r="N185" s="523">
        <f>E185-M185-L185</f>
        <v>890000</v>
      </c>
      <c r="O185" s="523">
        <f>M185*100/E185</f>
        <v>0</v>
      </c>
      <c r="P185" s="217" t="s">
        <v>496</v>
      </c>
    </row>
    <row r="186" spans="1:16" ht="29.25" customHeight="1" x14ac:dyDescent="0.2">
      <c r="A186" s="918" t="s">
        <v>814</v>
      </c>
      <c r="B186" s="918"/>
      <c r="C186" s="918"/>
      <c r="D186" s="918"/>
      <c r="E186" s="507"/>
      <c r="F186" s="507"/>
      <c r="G186" s="507"/>
      <c r="H186" s="508"/>
      <c r="I186" s="508"/>
      <c r="J186" s="508"/>
      <c r="K186" s="522"/>
      <c r="L186" s="522"/>
      <c r="M186" s="522"/>
      <c r="N186" s="522"/>
      <c r="O186" s="522"/>
      <c r="P186" s="217"/>
    </row>
    <row r="187" spans="1:16" ht="56.25" customHeight="1" x14ac:dyDescent="0.2">
      <c r="A187" s="918" t="s">
        <v>840</v>
      </c>
      <c r="B187" s="918"/>
      <c r="C187" s="918"/>
      <c r="D187" s="918"/>
      <c r="E187" s="512">
        <v>26745000</v>
      </c>
      <c r="F187" s="507">
        <v>0</v>
      </c>
      <c r="G187" s="512">
        <v>26745000</v>
      </c>
      <c r="H187" s="114" t="s">
        <v>860</v>
      </c>
      <c r="I187" s="465" t="s">
        <v>736</v>
      </c>
      <c r="J187" s="465" t="s">
        <v>747</v>
      </c>
      <c r="K187" s="517">
        <v>26690000</v>
      </c>
      <c r="L187" s="522">
        <f>G187-K187</f>
        <v>55000</v>
      </c>
      <c r="M187" s="522"/>
      <c r="N187" s="522">
        <f>E187-M187-L187</f>
        <v>26690000</v>
      </c>
      <c r="O187" s="522">
        <f>M187*100/E187</f>
        <v>0</v>
      </c>
      <c r="P187" s="217" t="s">
        <v>482</v>
      </c>
    </row>
    <row r="188" spans="1:16" s="729" customFormat="1" ht="75" customHeight="1" x14ac:dyDescent="0.2">
      <c r="A188" s="917" t="s">
        <v>815</v>
      </c>
      <c r="B188" s="917"/>
      <c r="C188" s="917"/>
      <c r="D188" s="917"/>
      <c r="E188" s="736">
        <v>1000000</v>
      </c>
      <c r="F188" s="736">
        <v>0</v>
      </c>
      <c r="G188" s="736">
        <v>1000000</v>
      </c>
      <c r="H188" s="731" t="s">
        <v>353</v>
      </c>
      <c r="I188" s="731" t="s">
        <v>698</v>
      </c>
      <c r="J188" s="724" t="s">
        <v>635</v>
      </c>
      <c r="K188" s="727">
        <v>995000</v>
      </c>
      <c r="L188" s="727">
        <f t="shared" ref="L188:L189" si="85">G188-K188</f>
        <v>5000</v>
      </c>
      <c r="M188" s="727">
        <v>995000</v>
      </c>
      <c r="N188" s="727">
        <f>E188-M188-L188</f>
        <v>0</v>
      </c>
      <c r="O188" s="727">
        <v>100</v>
      </c>
      <c r="P188" s="728" t="s">
        <v>407</v>
      </c>
    </row>
    <row r="189" spans="1:16" s="729" customFormat="1" ht="74.25" customHeight="1" x14ac:dyDescent="0.2">
      <c r="A189" s="917" t="s">
        <v>816</v>
      </c>
      <c r="B189" s="917"/>
      <c r="C189" s="917"/>
      <c r="D189" s="917"/>
      <c r="E189" s="736">
        <v>920000</v>
      </c>
      <c r="F189" s="736">
        <v>0</v>
      </c>
      <c r="G189" s="736">
        <v>920000</v>
      </c>
      <c r="H189" s="731" t="s">
        <v>353</v>
      </c>
      <c r="I189" s="731" t="s">
        <v>698</v>
      </c>
      <c r="J189" s="724" t="s">
        <v>635</v>
      </c>
      <c r="K189" s="727">
        <v>915000</v>
      </c>
      <c r="L189" s="727">
        <f t="shared" si="85"/>
        <v>5000</v>
      </c>
      <c r="M189" s="727">
        <v>915000</v>
      </c>
      <c r="N189" s="727">
        <f>E189-M189-L189</f>
        <v>0</v>
      </c>
      <c r="O189" s="727">
        <v>100</v>
      </c>
      <c r="P189" s="728" t="s">
        <v>407</v>
      </c>
    </row>
    <row r="190" spans="1:16" ht="60.75" customHeight="1" x14ac:dyDescent="0.2">
      <c r="A190" s="918" t="s">
        <v>914</v>
      </c>
      <c r="B190" s="918"/>
      <c r="C190" s="918"/>
      <c r="D190" s="918"/>
      <c r="E190" s="507">
        <v>11181000</v>
      </c>
      <c r="F190" s="507">
        <v>0</v>
      </c>
      <c r="G190" s="507">
        <v>11181000</v>
      </c>
      <c r="H190" s="325" t="s">
        <v>860</v>
      </c>
      <c r="I190" s="568" t="s">
        <v>952</v>
      </c>
      <c r="J190" s="365" t="s">
        <v>953</v>
      </c>
      <c r="K190" s="522">
        <v>9780000</v>
      </c>
      <c r="L190" s="522">
        <f>G190-K190</f>
        <v>1401000</v>
      </c>
      <c r="M190" s="522"/>
      <c r="N190" s="522">
        <f>E190-M190-L190</f>
        <v>9780000</v>
      </c>
      <c r="O190" s="522">
        <f t="shared" ref="O190:O194" si="86">M190*100/E190</f>
        <v>0</v>
      </c>
      <c r="P190" s="217" t="s">
        <v>36</v>
      </c>
    </row>
    <row r="191" spans="1:16" ht="45" customHeight="1" x14ac:dyDescent="0.2">
      <c r="A191" s="918" t="s">
        <v>890</v>
      </c>
      <c r="B191" s="918"/>
      <c r="C191" s="918"/>
      <c r="D191" s="918"/>
      <c r="E191" s="507"/>
      <c r="F191" s="476"/>
      <c r="G191" s="507"/>
      <c r="H191" s="477"/>
      <c r="I191" s="477"/>
      <c r="J191" s="477"/>
      <c r="K191" s="517"/>
      <c r="L191" s="489"/>
      <c r="M191" s="489"/>
      <c r="N191" s="489"/>
      <c r="O191" s="522"/>
      <c r="P191" s="217"/>
    </row>
    <row r="192" spans="1:16" s="729" customFormat="1" ht="42" customHeight="1" x14ac:dyDescent="0.2">
      <c r="A192" s="917" t="s">
        <v>487</v>
      </c>
      <c r="B192" s="917"/>
      <c r="C192" s="917"/>
      <c r="D192" s="917"/>
      <c r="E192" s="736">
        <v>2000000</v>
      </c>
      <c r="F192" s="736">
        <v>0</v>
      </c>
      <c r="G192" s="736">
        <v>2000000</v>
      </c>
      <c r="H192" s="731" t="s">
        <v>353</v>
      </c>
      <c r="I192" s="748" t="s">
        <v>195</v>
      </c>
      <c r="J192" s="725" t="s">
        <v>872</v>
      </c>
      <c r="K192" s="727">
        <v>1835999</v>
      </c>
      <c r="L192" s="727">
        <f>G192-K192</f>
        <v>164001</v>
      </c>
      <c r="M192" s="727">
        <v>1835999</v>
      </c>
      <c r="N192" s="727">
        <f>E192-M192-L192</f>
        <v>0</v>
      </c>
      <c r="O192" s="727">
        <v>100</v>
      </c>
      <c r="P192" s="728" t="s">
        <v>488</v>
      </c>
    </row>
    <row r="193" spans="1:18" ht="47.25" customHeight="1" x14ac:dyDescent="0.2">
      <c r="A193" s="918" t="s">
        <v>889</v>
      </c>
      <c r="B193" s="918"/>
      <c r="C193" s="918"/>
      <c r="D193" s="918"/>
      <c r="E193" s="476"/>
      <c r="F193" s="507"/>
      <c r="G193" s="476"/>
      <c r="H193" s="508"/>
      <c r="I193" s="508"/>
      <c r="J193" s="508"/>
      <c r="K193" s="522"/>
      <c r="L193" s="522"/>
      <c r="M193" s="522"/>
      <c r="N193" s="522"/>
      <c r="O193" s="522"/>
      <c r="P193" s="208"/>
    </row>
    <row r="194" spans="1:18" ht="44.25" customHeight="1" x14ac:dyDescent="0.2">
      <c r="A194" s="918" t="s">
        <v>489</v>
      </c>
      <c r="B194" s="918"/>
      <c r="C194" s="918"/>
      <c r="D194" s="918"/>
      <c r="E194" s="507">
        <v>49400000</v>
      </c>
      <c r="F194" s="507">
        <v>0</v>
      </c>
      <c r="G194" s="507">
        <v>49400000</v>
      </c>
      <c r="H194" s="114" t="s">
        <v>860</v>
      </c>
      <c r="I194" s="325" t="s">
        <v>699</v>
      </c>
      <c r="J194" s="342" t="s">
        <v>873</v>
      </c>
      <c r="K194" s="522">
        <v>49091000</v>
      </c>
      <c r="L194" s="522">
        <f>G194-K194</f>
        <v>309000</v>
      </c>
      <c r="M194" s="522">
        <v>7363650</v>
      </c>
      <c r="N194" s="522">
        <f>E194-M194-L194</f>
        <v>41727350</v>
      </c>
      <c r="O194" s="522">
        <f t="shared" si="86"/>
        <v>14.906174089068825</v>
      </c>
      <c r="P194" s="217" t="s">
        <v>482</v>
      </c>
    </row>
    <row r="195" spans="1:18" ht="37.5" x14ac:dyDescent="0.2">
      <c r="A195" s="918" t="s">
        <v>558</v>
      </c>
      <c r="B195" s="918"/>
      <c r="C195" s="918"/>
      <c r="D195" s="918"/>
      <c r="E195" s="507">
        <f>G195</f>
        <v>0</v>
      </c>
      <c r="F195" s="507">
        <v>0</v>
      </c>
      <c r="G195" s="507">
        <f>3600000-3600000</f>
        <v>0</v>
      </c>
      <c r="H195" s="610" t="s">
        <v>637</v>
      </c>
      <c r="I195" s="569"/>
      <c r="J195" s="569"/>
      <c r="K195" s="522"/>
      <c r="L195" s="522"/>
      <c r="M195" s="522"/>
      <c r="N195" s="522">
        <v>0</v>
      </c>
      <c r="O195" s="522">
        <v>0</v>
      </c>
      <c r="P195" s="217" t="s">
        <v>482</v>
      </c>
      <c r="Q195" s="409">
        <v>3600000</v>
      </c>
    </row>
    <row r="196" spans="1:18" s="729" customFormat="1" ht="88.5" customHeight="1" x14ac:dyDescent="0.2">
      <c r="A196" s="917" t="s">
        <v>888</v>
      </c>
      <c r="B196" s="917"/>
      <c r="C196" s="917"/>
      <c r="D196" s="917"/>
      <c r="E196" s="736">
        <v>1411000</v>
      </c>
      <c r="F196" s="736">
        <v>0</v>
      </c>
      <c r="G196" s="736">
        <v>1411000</v>
      </c>
      <c r="H196" s="731" t="s">
        <v>353</v>
      </c>
      <c r="I196" s="731" t="s">
        <v>718</v>
      </c>
      <c r="J196" s="724" t="s">
        <v>750</v>
      </c>
      <c r="K196" s="727">
        <v>1000000</v>
      </c>
      <c r="L196" s="727">
        <f>G196-K196</f>
        <v>411000</v>
      </c>
      <c r="M196" s="727">
        <v>1000000</v>
      </c>
      <c r="N196" s="727">
        <f>G196-M196-L196</f>
        <v>0</v>
      </c>
      <c r="O196" s="727">
        <v>100</v>
      </c>
      <c r="P196" s="728" t="s">
        <v>444</v>
      </c>
      <c r="Q196" s="738">
        <v>2005000</v>
      </c>
      <c r="R196" s="738">
        <f>Q196-L196</f>
        <v>1594000</v>
      </c>
    </row>
    <row r="197" spans="1:18" ht="68.25" customHeight="1" x14ac:dyDescent="0.2">
      <c r="A197" s="918" t="s">
        <v>887</v>
      </c>
      <c r="B197" s="918"/>
      <c r="C197" s="918"/>
      <c r="D197" s="918"/>
      <c r="E197" s="507"/>
      <c r="F197" s="507"/>
      <c r="G197" s="507"/>
      <c r="H197" s="508"/>
      <c r="I197" s="508"/>
      <c r="J197" s="508"/>
      <c r="K197" s="522"/>
      <c r="L197" s="522"/>
      <c r="M197" s="522"/>
      <c r="N197" s="522"/>
      <c r="O197" s="522"/>
      <c r="P197" s="217"/>
    </row>
    <row r="198" spans="1:18" ht="37.5" x14ac:dyDescent="0.2">
      <c r="A198" s="918" t="s">
        <v>490</v>
      </c>
      <c r="B198" s="918"/>
      <c r="C198" s="918"/>
      <c r="D198" s="918"/>
      <c r="E198" s="507">
        <f>G198</f>
        <v>0</v>
      </c>
      <c r="F198" s="478">
        <v>0</v>
      </c>
      <c r="G198" s="507">
        <f>18806000-18806000</f>
        <v>0</v>
      </c>
      <c r="H198" s="610" t="s">
        <v>637</v>
      </c>
      <c r="I198" s="480"/>
      <c r="J198" s="480"/>
      <c r="K198" s="479"/>
      <c r="L198" s="479"/>
      <c r="M198" s="479"/>
      <c r="N198" s="516">
        <v>0</v>
      </c>
      <c r="O198" s="522">
        <v>0</v>
      </c>
      <c r="P198" s="217" t="s">
        <v>444</v>
      </c>
      <c r="Q198" s="409">
        <v>18806000</v>
      </c>
    </row>
    <row r="199" spans="1:18" ht="47.25" customHeight="1" x14ac:dyDescent="0.2">
      <c r="A199" s="918" t="s">
        <v>936</v>
      </c>
      <c r="B199" s="918"/>
      <c r="C199" s="918"/>
      <c r="D199" s="918"/>
      <c r="E199" s="507">
        <v>1150000</v>
      </c>
      <c r="F199" s="566">
        <v>0</v>
      </c>
      <c r="G199" s="507">
        <v>1150000</v>
      </c>
      <c r="H199" s="114" t="s">
        <v>860</v>
      </c>
      <c r="I199" s="465" t="s">
        <v>687</v>
      </c>
      <c r="J199" s="344" t="s">
        <v>947</v>
      </c>
      <c r="K199" s="517">
        <v>890000</v>
      </c>
      <c r="L199" s="567">
        <f>G199-K199</f>
        <v>260000</v>
      </c>
      <c r="M199" s="567">
        <f>890000</f>
        <v>890000</v>
      </c>
      <c r="N199" s="516">
        <f>E199-M199-L199</f>
        <v>0</v>
      </c>
      <c r="O199" s="522">
        <v>100</v>
      </c>
      <c r="P199" s="217" t="s">
        <v>4</v>
      </c>
    </row>
    <row r="200" spans="1:18" s="729" customFormat="1" ht="68.25" customHeight="1" x14ac:dyDescent="0.2">
      <c r="A200" s="917" t="s">
        <v>886</v>
      </c>
      <c r="B200" s="917"/>
      <c r="C200" s="917"/>
      <c r="D200" s="917"/>
      <c r="E200" s="745">
        <v>1000000</v>
      </c>
      <c r="F200" s="749">
        <v>0</v>
      </c>
      <c r="G200" s="745">
        <v>1000000</v>
      </c>
      <c r="H200" s="724" t="s">
        <v>353</v>
      </c>
      <c r="I200" s="724" t="s">
        <v>687</v>
      </c>
      <c r="J200" s="725" t="s">
        <v>872</v>
      </c>
      <c r="K200" s="732">
        <v>811000</v>
      </c>
      <c r="L200" s="732">
        <f>G200-K200</f>
        <v>189000</v>
      </c>
      <c r="M200" s="727">
        <v>811000</v>
      </c>
      <c r="N200" s="727">
        <f>E200-M200-L200</f>
        <v>0</v>
      </c>
      <c r="O200" s="727">
        <v>100</v>
      </c>
      <c r="P200" s="728" t="s">
        <v>4</v>
      </c>
    </row>
    <row r="201" spans="1:18" ht="45.75" customHeight="1" x14ac:dyDescent="0.2">
      <c r="A201" s="919" t="s">
        <v>817</v>
      </c>
      <c r="B201" s="919"/>
      <c r="C201" s="919"/>
      <c r="D201" s="919"/>
      <c r="E201" s="483">
        <f>E202</f>
        <v>7500000</v>
      </c>
      <c r="F201" s="483">
        <f t="shared" ref="F201:G202" si="87">F202</f>
        <v>7500000</v>
      </c>
      <c r="G201" s="483">
        <f t="shared" si="87"/>
        <v>0</v>
      </c>
      <c r="H201" s="484"/>
      <c r="I201" s="484"/>
      <c r="J201" s="484"/>
      <c r="K201" s="485">
        <f>K202</f>
        <v>0</v>
      </c>
      <c r="L201" s="485">
        <f t="shared" ref="L201:N201" si="88">L202</f>
        <v>0</v>
      </c>
      <c r="M201" s="485">
        <f t="shared" si="88"/>
        <v>2467790</v>
      </c>
      <c r="N201" s="485">
        <f t="shared" si="88"/>
        <v>5032210</v>
      </c>
      <c r="O201" s="485">
        <f>M201*100/E201</f>
        <v>32.903866666666666</v>
      </c>
      <c r="P201" s="466"/>
    </row>
    <row r="202" spans="1:18" ht="33" customHeight="1" x14ac:dyDescent="0.2">
      <c r="A202" s="914" t="s">
        <v>818</v>
      </c>
      <c r="B202" s="914"/>
      <c r="C202" s="914"/>
      <c r="D202" s="914"/>
      <c r="E202" s="486">
        <f>E203</f>
        <v>7500000</v>
      </c>
      <c r="F202" s="486">
        <f t="shared" si="87"/>
        <v>7500000</v>
      </c>
      <c r="G202" s="486">
        <f t="shared" si="87"/>
        <v>0</v>
      </c>
      <c r="H202" s="487"/>
      <c r="I202" s="487"/>
      <c r="J202" s="487"/>
      <c r="K202" s="488">
        <f>K203</f>
        <v>0</v>
      </c>
      <c r="L202" s="488">
        <f t="shared" ref="L202:N202" si="89">L203</f>
        <v>0</v>
      </c>
      <c r="M202" s="488">
        <f t="shared" si="89"/>
        <v>2467790</v>
      </c>
      <c r="N202" s="488">
        <f t="shared" si="89"/>
        <v>5032210</v>
      </c>
      <c r="O202" s="488">
        <f>M202*100/E202</f>
        <v>32.903866666666666</v>
      </c>
      <c r="P202" s="216"/>
    </row>
    <row r="203" spans="1:18" ht="45" customHeight="1" x14ac:dyDescent="0.2">
      <c r="A203" s="918" t="s">
        <v>885</v>
      </c>
      <c r="B203" s="918"/>
      <c r="C203" s="918"/>
      <c r="D203" s="918"/>
      <c r="E203" s="512">
        <v>7500000</v>
      </c>
      <c r="F203" s="512">
        <v>7500000</v>
      </c>
      <c r="G203" s="478">
        <v>0</v>
      </c>
      <c r="H203" s="321" t="s">
        <v>862</v>
      </c>
      <c r="I203" s="480"/>
      <c r="J203" s="480"/>
      <c r="K203" s="479"/>
      <c r="L203" s="479"/>
      <c r="M203" s="516">
        <f>123600+4900+6000+36000+918916+1378374</f>
        <v>2467790</v>
      </c>
      <c r="N203" s="516">
        <f>E203-M203</f>
        <v>5032210</v>
      </c>
      <c r="O203" s="516">
        <f>M203*100/E203</f>
        <v>32.903866666666666</v>
      </c>
      <c r="P203" s="217" t="s">
        <v>496</v>
      </c>
    </row>
    <row r="204" spans="1:18" ht="30" customHeight="1" x14ac:dyDescent="0.2">
      <c r="A204" s="919" t="s">
        <v>819</v>
      </c>
      <c r="B204" s="919"/>
      <c r="C204" s="919"/>
      <c r="D204" s="919"/>
      <c r="E204" s="483">
        <f>E205</f>
        <v>18000000</v>
      </c>
      <c r="F204" s="483">
        <f t="shared" ref="F204:G204" si="90">F205</f>
        <v>18000000</v>
      </c>
      <c r="G204" s="483">
        <f t="shared" si="90"/>
        <v>0</v>
      </c>
      <c r="H204" s="484"/>
      <c r="I204" s="484"/>
      <c r="J204" s="484"/>
      <c r="K204" s="485">
        <f>K205</f>
        <v>0</v>
      </c>
      <c r="L204" s="485">
        <f t="shared" ref="L204:N204" si="91">L205</f>
        <v>0</v>
      </c>
      <c r="M204" s="485">
        <f t="shared" si="91"/>
        <v>0</v>
      </c>
      <c r="N204" s="485">
        <f t="shared" si="91"/>
        <v>18000000</v>
      </c>
      <c r="O204" s="485">
        <f>M204*100/E204</f>
        <v>0</v>
      </c>
      <c r="P204" s="212"/>
      <c r="Q204" s="580">
        <f>E6-Q7</f>
        <v>-28408000</v>
      </c>
    </row>
    <row r="205" spans="1:18" ht="30" customHeight="1" x14ac:dyDescent="0.2">
      <c r="A205" s="914" t="s">
        <v>820</v>
      </c>
      <c r="B205" s="914"/>
      <c r="C205" s="914"/>
      <c r="D205" s="914"/>
      <c r="E205" s="486">
        <f>E207+E208</f>
        <v>18000000</v>
      </c>
      <c r="F205" s="486">
        <f t="shared" ref="F205:G205" si="92">F207+F208</f>
        <v>18000000</v>
      </c>
      <c r="G205" s="486">
        <f t="shared" si="92"/>
        <v>0</v>
      </c>
      <c r="H205" s="487"/>
      <c r="I205" s="487"/>
      <c r="J205" s="487"/>
      <c r="K205" s="488">
        <f>K207+K208</f>
        <v>0</v>
      </c>
      <c r="L205" s="488">
        <f>L207+L208</f>
        <v>0</v>
      </c>
      <c r="M205" s="488">
        <f>M207+M208</f>
        <v>0</v>
      </c>
      <c r="N205" s="488">
        <f>N207+N208</f>
        <v>18000000</v>
      </c>
      <c r="O205" s="488">
        <f>M205*100/E205</f>
        <v>0</v>
      </c>
      <c r="P205" s="216"/>
    </row>
    <row r="206" spans="1:18" ht="25.5" customHeight="1" x14ac:dyDescent="0.2">
      <c r="A206" s="918" t="s">
        <v>821</v>
      </c>
      <c r="B206" s="918"/>
      <c r="C206" s="918"/>
      <c r="D206" s="918"/>
      <c r="E206" s="482"/>
      <c r="F206" s="478"/>
      <c r="G206" s="478"/>
      <c r="H206" s="480"/>
      <c r="I206" s="480"/>
      <c r="J206" s="480"/>
      <c r="K206" s="479"/>
      <c r="L206" s="479"/>
      <c r="M206" s="479"/>
      <c r="N206" s="479"/>
      <c r="O206" s="479"/>
      <c r="P206" s="208"/>
    </row>
    <row r="207" spans="1:18" ht="57" customHeight="1" x14ac:dyDescent="0.2">
      <c r="A207" s="918" t="s">
        <v>832</v>
      </c>
      <c r="B207" s="918"/>
      <c r="C207" s="918"/>
      <c r="D207" s="918"/>
      <c r="E207" s="512">
        <v>15000000</v>
      </c>
      <c r="F207" s="512">
        <v>15000000</v>
      </c>
      <c r="G207" s="512">
        <v>0</v>
      </c>
      <c r="H207" s="321" t="s">
        <v>862</v>
      </c>
      <c r="I207" s="513"/>
      <c r="J207" s="513"/>
      <c r="K207" s="522"/>
      <c r="L207" s="522"/>
      <c r="M207" s="522"/>
      <c r="N207" s="522">
        <f>E207-M207</f>
        <v>15000000</v>
      </c>
      <c r="O207" s="522">
        <f>M207*100/E207</f>
        <v>0</v>
      </c>
      <c r="P207" s="217" t="s">
        <v>460</v>
      </c>
    </row>
    <row r="208" spans="1:18" ht="56.25" customHeight="1" x14ac:dyDescent="0.2">
      <c r="A208" s="918" t="s">
        <v>822</v>
      </c>
      <c r="B208" s="918"/>
      <c r="C208" s="918"/>
      <c r="D208" s="918"/>
      <c r="E208" s="512">
        <v>3000000</v>
      </c>
      <c r="F208" s="512">
        <v>3000000</v>
      </c>
      <c r="G208" s="512">
        <v>0</v>
      </c>
      <c r="H208" s="321" t="s">
        <v>862</v>
      </c>
      <c r="I208" s="513"/>
      <c r="J208" s="513"/>
      <c r="K208" s="522"/>
      <c r="L208" s="522"/>
      <c r="M208" s="522"/>
      <c r="N208" s="522">
        <f>E208-M208</f>
        <v>3000000</v>
      </c>
      <c r="O208" s="522">
        <f>M208*100/E208</f>
        <v>0</v>
      </c>
      <c r="P208" s="217" t="s">
        <v>460</v>
      </c>
    </row>
    <row r="209" spans="1:16" hidden="1" x14ac:dyDescent="0.2">
      <c r="A209" s="919" t="s">
        <v>823</v>
      </c>
      <c r="B209" s="919"/>
      <c r="C209" s="919"/>
      <c r="D209" s="919"/>
      <c r="E209" s="483">
        <v>0</v>
      </c>
      <c r="F209" s="505"/>
      <c r="G209" s="505"/>
      <c r="H209" s="506"/>
      <c r="I209" s="506"/>
      <c r="J209" s="506"/>
      <c r="K209" s="521"/>
      <c r="L209" s="521"/>
      <c r="M209" s="521"/>
      <c r="N209" s="521"/>
      <c r="O209" s="521"/>
      <c r="P209" s="215"/>
    </row>
    <row r="210" spans="1:16" x14ac:dyDescent="0.2">
      <c r="A210" s="928" t="s">
        <v>504</v>
      </c>
      <c r="B210" s="928"/>
      <c r="C210" s="928"/>
      <c r="D210" s="928"/>
      <c r="E210" s="470">
        <f>E7+E139</f>
        <v>821063100</v>
      </c>
      <c r="F210" s="470">
        <f>F7+F139</f>
        <v>159319400</v>
      </c>
      <c r="G210" s="470">
        <f>G7+G139</f>
        <v>661743700</v>
      </c>
      <c r="H210" s="471"/>
      <c r="I210" s="471"/>
      <c r="J210" s="471"/>
      <c r="K210" s="472">
        <f>K7+K139</f>
        <v>589200249.73000002</v>
      </c>
      <c r="L210" s="472">
        <f>L7+L139</f>
        <v>56630627.269999996</v>
      </c>
      <c r="M210" s="472">
        <f>M7+M139</f>
        <v>190106719.65000001</v>
      </c>
      <c r="N210" s="472">
        <f>N7+N139</f>
        <v>574327753.08000004</v>
      </c>
      <c r="O210" s="472">
        <f>M210*100/E210</f>
        <v>23.153728337079087</v>
      </c>
      <c r="P210" s="214"/>
    </row>
  </sheetData>
  <mergeCells count="202">
    <mergeCell ref="A176:D176"/>
    <mergeCell ref="A180:D180"/>
    <mergeCell ref="A179:D179"/>
    <mergeCell ref="A177:D177"/>
    <mergeCell ref="A178:D178"/>
    <mergeCell ref="A36:D36"/>
    <mergeCell ref="A37:D37"/>
    <mergeCell ref="A38:D38"/>
    <mergeCell ref="A39:D39"/>
    <mergeCell ref="A40:D40"/>
    <mergeCell ref="A41:D41"/>
    <mergeCell ref="A42:D42"/>
    <mergeCell ref="A135:D135"/>
    <mergeCell ref="A134:D134"/>
    <mergeCell ref="A133:D133"/>
    <mergeCell ref="A132:D132"/>
    <mergeCell ref="A131:D131"/>
    <mergeCell ref="A84:D84"/>
    <mergeCell ref="A124:D124"/>
    <mergeCell ref="A119:D119"/>
    <mergeCell ref="A118:D118"/>
    <mergeCell ref="A117:D117"/>
    <mergeCell ref="A116:D116"/>
    <mergeCell ref="A115:D115"/>
    <mergeCell ref="A26:D26"/>
    <mergeCell ref="A27:D27"/>
    <mergeCell ref="A28:D28"/>
    <mergeCell ref="A30:D30"/>
    <mergeCell ref="A31:D31"/>
    <mergeCell ref="A32:D32"/>
    <mergeCell ref="A33:D33"/>
    <mergeCell ref="A34:D34"/>
    <mergeCell ref="A35:D35"/>
    <mergeCell ref="A29:D29"/>
    <mergeCell ref="A25:D25"/>
    <mergeCell ref="A6:D6"/>
    <mergeCell ref="A7:D7"/>
    <mergeCell ref="A8:D8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1:P1"/>
    <mergeCell ref="A2:P2"/>
    <mergeCell ref="A3:D3"/>
    <mergeCell ref="E3:P3"/>
    <mergeCell ref="A4:D5"/>
    <mergeCell ref="P4:P5"/>
    <mergeCell ref="A9:D9"/>
    <mergeCell ref="A10:D10"/>
    <mergeCell ref="A11:D11"/>
    <mergeCell ref="E4:G4"/>
    <mergeCell ref="H4:L4"/>
    <mergeCell ref="M4:O4"/>
    <mergeCell ref="A114:D114"/>
    <mergeCell ref="A113:D113"/>
    <mergeCell ref="A85:D85"/>
    <mergeCell ref="A89:D89"/>
    <mergeCell ref="A120:D120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108:D108"/>
    <mergeCell ref="A109:D109"/>
    <mergeCell ref="A110:D110"/>
    <mergeCell ref="A111:D111"/>
    <mergeCell ref="A112:D112"/>
    <mergeCell ref="A99:D99"/>
    <mergeCell ref="A100:D100"/>
    <mergeCell ref="A101:D101"/>
    <mergeCell ref="A102:D102"/>
    <mergeCell ref="A103:D103"/>
    <mergeCell ref="A200:D200"/>
    <mergeCell ref="A199:D199"/>
    <mergeCell ref="A198:D198"/>
    <mergeCell ref="A188:D188"/>
    <mergeCell ref="A187:D187"/>
    <mergeCell ref="A186:D186"/>
    <mergeCell ref="A185:D185"/>
    <mergeCell ref="A184:D184"/>
    <mergeCell ref="A149:D149"/>
    <mergeCell ref="A150:D150"/>
    <mergeCell ref="A160:D160"/>
    <mergeCell ref="A151:D151"/>
    <mergeCell ref="A197:D197"/>
    <mergeCell ref="A196:D196"/>
    <mergeCell ref="A195:D195"/>
    <mergeCell ref="A194:D194"/>
    <mergeCell ref="A193:D193"/>
    <mergeCell ref="A192:D192"/>
    <mergeCell ref="A191:D191"/>
    <mergeCell ref="A190:D190"/>
    <mergeCell ref="A189:D189"/>
    <mergeCell ref="A183:D183"/>
    <mergeCell ref="A182:D182"/>
    <mergeCell ref="A181:D181"/>
    <mergeCell ref="A204:D204"/>
    <mergeCell ref="A209:D209"/>
    <mergeCell ref="A210:D210"/>
    <mergeCell ref="A201:D201"/>
    <mergeCell ref="A208:D208"/>
    <mergeCell ref="A207:D207"/>
    <mergeCell ref="A206:D206"/>
    <mergeCell ref="A205:D205"/>
    <mergeCell ref="A203:D203"/>
    <mergeCell ref="A202:D202"/>
    <mergeCell ref="A43:D43"/>
    <mergeCell ref="A44:D44"/>
    <mergeCell ref="A45:D45"/>
    <mergeCell ref="A46:D46"/>
    <mergeCell ref="A48:D48"/>
    <mergeCell ref="A49:D49"/>
    <mergeCell ref="A50:D50"/>
    <mergeCell ref="A51:D51"/>
    <mergeCell ref="A52:D52"/>
    <mergeCell ref="A47:D47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5:D65"/>
    <mergeCell ref="A66:D66"/>
    <mergeCell ref="A67:D67"/>
    <mergeCell ref="A68:D68"/>
    <mergeCell ref="A70:D70"/>
    <mergeCell ref="A71:D71"/>
    <mergeCell ref="A72:D72"/>
    <mergeCell ref="A69:D69"/>
    <mergeCell ref="A64:D64"/>
    <mergeCell ref="A175:D175"/>
    <mergeCell ref="A174:D174"/>
    <mergeCell ref="A173:D173"/>
    <mergeCell ref="A172:D172"/>
    <mergeCell ref="A171:D171"/>
    <mergeCell ref="A170:D170"/>
    <mergeCell ref="A169:D169"/>
    <mergeCell ref="A168:D168"/>
    <mergeCell ref="A167:D167"/>
    <mergeCell ref="A166:D166"/>
    <mergeCell ref="A165:D165"/>
    <mergeCell ref="A164:D164"/>
    <mergeCell ref="A163:D163"/>
    <mergeCell ref="A162:D162"/>
    <mergeCell ref="A161:D161"/>
    <mergeCell ref="A142:D142"/>
    <mergeCell ref="A141:D141"/>
    <mergeCell ref="A136:D136"/>
    <mergeCell ref="A143:D143"/>
    <mergeCell ref="A144:D144"/>
    <mergeCell ref="A147:D147"/>
    <mergeCell ref="A148:D148"/>
    <mergeCell ref="A139:D139"/>
    <mergeCell ref="A140:D140"/>
    <mergeCell ref="A146:D146"/>
    <mergeCell ref="A145:D145"/>
    <mergeCell ref="A137:D137"/>
    <mergeCell ref="A138:D138"/>
    <mergeCell ref="A130:D130"/>
    <mergeCell ref="A129:D129"/>
    <mergeCell ref="A128:D128"/>
    <mergeCell ref="A127:D127"/>
    <mergeCell ref="A126:D126"/>
    <mergeCell ref="A125:D125"/>
    <mergeCell ref="A123:D123"/>
    <mergeCell ref="A122:D122"/>
    <mergeCell ref="A121:D121"/>
    <mergeCell ref="A104:D104"/>
    <mergeCell ref="A105:D105"/>
    <mergeCell ref="A106:D106"/>
    <mergeCell ref="A107:D107"/>
    <mergeCell ref="A73:D73"/>
    <mergeCell ref="A74:D74"/>
    <mergeCell ref="A76:D76"/>
    <mergeCell ref="A75:D75"/>
    <mergeCell ref="A78:D78"/>
    <mergeCell ref="A79:D79"/>
    <mergeCell ref="A80:D80"/>
    <mergeCell ref="A82:D82"/>
    <mergeCell ref="A81:D81"/>
    <mergeCell ref="A77:D77"/>
  </mergeCells>
  <pageMargins left="0.19685039370078741" right="0.19685039370078741" top="0.19685039370078741" bottom="0.19685039370078741" header="0.19685039370078741" footer="0.19685039370078741"/>
  <pageSetup paperSize="9" scale="6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6"/>
  <sheetViews>
    <sheetView workbookViewId="0">
      <selection activeCell="J10" sqref="J10"/>
    </sheetView>
  </sheetViews>
  <sheetFormatPr defaultRowHeight="14.25" x14ac:dyDescent="0.2"/>
  <cols>
    <col min="1" max="1" width="3.625" style="1" customWidth="1"/>
    <col min="2" max="2" width="33.25" style="1" customWidth="1"/>
    <col min="3" max="3" width="10.375" style="1" customWidth="1"/>
    <col min="4" max="4" width="9.25" style="1" customWidth="1"/>
    <col min="5" max="6" width="7.75" style="1" customWidth="1"/>
    <col min="7" max="7" width="11.625" style="1" customWidth="1"/>
    <col min="8" max="8" width="17.75" style="1" customWidth="1"/>
    <col min="9" max="16384" width="9" style="1"/>
  </cols>
  <sheetData>
    <row r="1" spans="1:8" ht="21" x14ac:dyDescent="0.3">
      <c r="A1" s="818" t="s">
        <v>354</v>
      </c>
      <c r="B1" s="818"/>
      <c r="C1" s="818"/>
      <c r="D1" s="818"/>
      <c r="E1" s="818"/>
      <c r="F1" s="818"/>
      <c r="G1" s="818"/>
      <c r="H1" s="126"/>
    </row>
    <row r="2" spans="1:8" ht="21" x14ac:dyDescent="0.3">
      <c r="A2" s="819" t="s">
        <v>834</v>
      </c>
      <c r="B2" s="819"/>
      <c r="C2" s="819"/>
      <c r="D2" s="819"/>
      <c r="E2" s="819"/>
      <c r="F2" s="819"/>
      <c r="G2" s="819"/>
      <c r="H2" s="126"/>
    </row>
    <row r="3" spans="1:8" ht="21" x14ac:dyDescent="0.35">
      <c r="A3" s="127"/>
      <c r="B3" s="127"/>
      <c r="C3" s="127"/>
      <c r="D3" s="820"/>
      <c r="E3" s="820"/>
      <c r="F3" s="820"/>
      <c r="G3" s="820"/>
      <c r="H3" s="126"/>
    </row>
    <row r="4" spans="1:8" ht="24" customHeight="1" x14ac:dyDescent="0.3">
      <c r="A4" s="814" t="s">
        <v>76</v>
      </c>
      <c r="B4" s="814" t="s">
        <v>357</v>
      </c>
      <c r="C4" s="816" t="s">
        <v>358</v>
      </c>
      <c r="D4" s="811" t="s">
        <v>376</v>
      </c>
      <c r="E4" s="812"/>
      <c r="F4" s="813"/>
      <c r="G4" s="823" t="s">
        <v>359</v>
      </c>
      <c r="H4" s="126"/>
    </row>
    <row r="5" spans="1:8" ht="42" customHeight="1" x14ac:dyDescent="0.3">
      <c r="A5" s="815"/>
      <c r="B5" s="815"/>
      <c r="C5" s="817"/>
      <c r="D5" s="128" t="s">
        <v>375</v>
      </c>
      <c r="E5" s="128" t="s">
        <v>284</v>
      </c>
      <c r="F5" s="128" t="s">
        <v>74</v>
      </c>
      <c r="G5" s="824"/>
      <c r="H5" s="126"/>
    </row>
    <row r="6" spans="1:8" ht="65.25" customHeight="1" x14ac:dyDescent="0.3">
      <c r="A6" s="411">
        <v>1</v>
      </c>
      <c r="B6" s="129" t="s">
        <v>835</v>
      </c>
      <c r="C6" s="130">
        <v>30000</v>
      </c>
      <c r="D6" s="131">
        <v>30000</v>
      </c>
      <c r="E6" s="131">
        <f>C6-D6</f>
        <v>0</v>
      </c>
      <c r="F6" s="143">
        <f>D6*100/C6</f>
        <v>100</v>
      </c>
      <c r="G6" s="132"/>
      <c r="H6" s="126"/>
    </row>
    <row r="7" spans="1:8" ht="21" x14ac:dyDescent="0.35">
      <c r="A7" s="809" t="s">
        <v>112</v>
      </c>
      <c r="B7" s="810"/>
      <c r="C7" s="137">
        <f>C6</f>
        <v>30000</v>
      </c>
      <c r="D7" s="137">
        <f t="shared" ref="D7:F7" si="0">D6</f>
        <v>30000</v>
      </c>
      <c r="E7" s="137">
        <f t="shared" si="0"/>
        <v>0</v>
      </c>
      <c r="F7" s="145">
        <f t="shared" si="0"/>
        <v>100</v>
      </c>
      <c r="G7" s="138"/>
      <c r="H7" s="126"/>
    </row>
    <row r="8" spans="1:8" ht="18.75" x14ac:dyDescent="0.3">
      <c r="A8" s="139"/>
      <c r="B8" s="139"/>
      <c r="C8" s="139"/>
      <c r="D8" s="139"/>
      <c r="E8" s="139"/>
      <c r="F8" s="139"/>
      <c r="G8" s="139"/>
      <c r="H8" s="126"/>
    </row>
    <row r="16" spans="1:8" x14ac:dyDescent="0.2">
      <c r="D16" s="139"/>
    </row>
  </sheetData>
  <mergeCells count="9">
    <mergeCell ref="D4:F4"/>
    <mergeCell ref="G4:G5"/>
    <mergeCell ref="A7:B7"/>
    <mergeCell ref="A1:G1"/>
    <mergeCell ref="A2:G2"/>
    <mergeCell ref="D3:G3"/>
    <mergeCell ref="A4:A5"/>
    <mergeCell ref="B4:B5"/>
    <mergeCell ref="C4:C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H21"/>
  <sheetViews>
    <sheetView topLeftCell="A16" workbookViewId="0">
      <selection activeCell="H19" sqref="H19"/>
    </sheetView>
  </sheetViews>
  <sheetFormatPr defaultRowHeight="14.25" x14ac:dyDescent="0.2"/>
  <cols>
    <col min="1" max="1" width="3.125" style="1" customWidth="1"/>
    <col min="2" max="2" width="33.25" style="1" customWidth="1"/>
    <col min="3" max="3" width="14" style="1" customWidth="1"/>
    <col min="4" max="4" width="12.875" style="1" customWidth="1"/>
    <col min="5" max="5" width="13" style="1" customWidth="1"/>
    <col min="6" max="6" width="7.75" style="1" customWidth="1"/>
    <col min="7" max="7" width="15.375" style="1" customWidth="1"/>
    <col min="8" max="8" width="17.75" style="1" customWidth="1"/>
    <col min="9" max="16384" width="9" style="1"/>
  </cols>
  <sheetData>
    <row r="1" spans="1:8" ht="21" x14ac:dyDescent="0.3">
      <c r="A1" s="818" t="s">
        <v>354</v>
      </c>
      <c r="B1" s="818"/>
      <c r="C1" s="818"/>
      <c r="D1" s="818"/>
      <c r="E1" s="818"/>
      <c r="F1" s="818"/>
      <c r="G1" s="818"/>
      <c r="H1" s="126"/>
    </row>
    <row r="2" spans="1:8" ht="47.25" customHeight="1" x14ac:dyDescent="0.3">
      <c r="A2" s="818" t="s">
        <v>844</v>
      </c>
      <c r="B2" s="818"/>
      <c r="C2" s="818"/>
      <c r="D2" s="818"/>
      <c r="E2" s="818"/>
      <c r="F2" s="818"/>
      <c r="G2" s="818"/>
      <c r="H2" s="126"/>
    </row>
    <row r="3" spans="1:8" ht="21" x14ac:dyDescent="0.35">
      <c r="A3" s="127"/>
      <c r="B3" s="127"/>
      <c r="C3" s="127"/>
      <c r="D3" s="820" t="s">
        <v>1044</v>
      </c>
      <c r="E3" s="820"/>
      <c r="F3" s="820"/>
      <c r="G3" s="820"/>
      <c r="H3" s="126"/>
    </row>
    <row r="4" spans="1:8" ht="24" customHeight="1" x14ac:dyDescent="0.3">
      <c r="A4" s="814" t="s">
        <v>76</v>
      </c>
      <c r="B4" s="814" t="s">
        <v>357</v>
      </c>
      <c r="C4" s="816" t="s">
        <v>358</v>
      </c>
      <c r="D4" s="811" t="s">
        <v>376</v>
      </c>
      <c r="E4" s="812"/>
      <c r="F4" s="813"/>
      <c r="G4" s="823" t="s">
        <v>359</v>
      </c>
      <c r="H4" s="126"/>
    </row>
    <row r="5" spans="1:8" ht="29.25" customHeight="1" x14ac:dyDescent="0.3">
      <c r="A5" s="815"/>
      <c r="B5" s="815"/>
      <c r="C5" s="817"/>
      <c r="D5" s="128" t="s">
        <v>375</v>
      </c>
      <c r="E5" s="128" t="s">
        <v>73</v>
      </c>
      <c r="F5" s="128" t="s">
        <v>74</v>
      </c>
      <c r="G5" s="824"/>
      <c r="H5" s="126"/>
    </row>
    <row r="6" spans="1:8" s="418" customFormat="1" ht="52.5" customHeight="1" x14ac:dyDescent="0.35">
      <c r="A6" s="613">
        <v>1</v>
      </c>
      <c r="B6" s="417" t="s">
        <v>845</v>
      </c>
      <c r="C6" s="435">
        <f>C7+C8+C9</f>
        <v>160000</v>
      </c>
      <c r="D6" s="435">
        <f t="shared" ref="D6:E6" si="0">D7+D8+D9</f>
        <v>123130</v>
      </c>
      <c r="E6" s="435">
        <f t="shared" si="0"/>
        <v>36870</v>
      </c>
      <c r="F6" s="143">
        <f>D6*100/C6</f>
        <v>76.956249999999997</v>
      </c>
      <c r="G6" s="433" t="s">
        <v>192</v>
      </c>
      <c r="H6" s="426"/>
    </row>
    <row r="7" spans="1:8" s="3" customFormat="1" ht="84" x14ac:dyDescent="0.35">
      <c r="A7" s="614"/>
      <c r="B7" s="428" t="s">
        <v>854</v>
      </c>
      <c r="C7" s="436">
        <v>30000</v>
      </c>
      <c r="D7" s="436">
        <f>8400+4900+700+455+525+525+525</f>
        <v>16030</v>
      </c>
      <c r="E7" s="436">
        <f t="shared" ref="E7:E12" si="1">C7-D7</f>
        <v>13970</v>
      </c>
      <c r="F7" s="436">
        <f>D7*100/C7</f>
        <v>53.43333333333333</v>
      </c>
      <c r="G7" s="421"/>
      <c r="H7" s="420"/>
    </row>
    <row r="8" spans="1:8" s="3" customFormat="1" ht="46.5" customHeight="1" x14ac:dyDescent="0.35">
      <c r="A8" s="615"/>
      <c r="B8" s="427" t="s">
        <v>846</v>
      </c>
      <c r="C8" s="436">
        <v>30000</v>
      </c>
      <c r="D8" s="436">
        <f>6400+700</f>
        <v>7100</v>
      </c>
      <c r="E8" s="436">
        <f t="shared" si="1"/>
        <v>22900</v>
      </c>
      <c r="F8" s="436">
        <f t="shared" ref="F8:F9" si="2">D8*100/C8</f>
        <v>23.666666666666668</v>
      </c>
      <c r="G8" s="422"/>
    </row>
    <row r="9" spans="1:8" s="3" customFormat="1" ht="42" customHeight="1" x14ac:dyDescent="0.35">
      <c r="A9" s="616"/>
      <c r="B9" s="425" t="s">
        <v>847</v>
      </c>
      <c r="C9" s="436">
        <v>100000</v>
      </c>
      <c r="D9" s="436">
        <f>54800+45200</f>
        <v>100000</v>
      </c>
      <c r="E9" s="436">
        <f t="shared" si="1"/>
        <v>0</v>
      </c>
      <c r="F9" s="436">
        <f t="shared" si="2"/>
        <v>100</v>
      </c>
      <c r="G9" s="422"/>
    </row>
    <row r="10" spans="1:8" s="418" customFormat="1" ht="63" x14ac:dyDescent="0.35">
      <c r="A10" s="617">
        <v>2</v>
      </c>
      <c r="B10" s="430" t="s">
        <v>848</v>
      </c>
      <c r="C10" s="434">
        <f>C11+C12</f>
        <v>104000</v>
      </c>
      <c r="D10" s="434">
        <f>D11+D12</f>
        <v>104000</v>
      </c>
      <c r="E10" s="434">
        <f t="shared" si="1"/>
        <v>0</v>
      </c>
      <c r="F10" s="434">
        <f t="shared" ref="F10:F15" si="3">D10*100/C10</f>
        <v>100</v>
      </c>
      <c r="G10" s="416" t="s">
        <v>192</v>
      </c>
    </row>
    <row r="11" spans="1:8" s="3" customFormat="1" ht="105" x14ac:dyDescent="0.35">
      <c r="A11" s="615"/>
      <c r="B11" s="427" t="s">
        <v>855</v>
      </c>
      <c r="C11" s="436">
        <v>52000</v>
      </c>
      <c r="D11" s="436">
        <f>13000+13000+13000+13000</f>
        <v>52000</v>
      </c>
      <c r="E11" s="436">
        <f t="shared" si="1"/>
        <v>0</v>
      </c>
      <c r="F11" s="436">
        <f t="shared" si="3"/>
        <v>100</v>
      </c>
      <c r="G11" s="422"/>
    </row>
    <row r="12" spans="1:8" s="3" customFormat="1" ht="63" x14ac:dyDescent="0.35">
      <c r="A12" s="615"/>
      <c r="B12" s="427" t="s">
        <v>857</v>
      </c>
      <c r="C12" s="436">
        <v>52000</v>
      </c>
      <c r="D12" s="436">
        <f>13000+13000+13000+13000</f>
        <v>52000</v>
      </c>
      <c r="E12" s="436">
        <f t="shared" si="1"/>
        <v>0</v>
      </c>
      <c r="F12" s="436">
        <f t="shared" si="3"/>
        <v>100</v>
      </c>
      <c r="G12" s="422"/>
    </row>
    <row r="13" spans="1:8" s="418" customFormat="1" ht="21" x14ac:dyDescent="0.35">
      <c r="A13" s="617">
        <v>3</v>
      </c>
      <c r="B13" s="429" t="s">
        <v>849</v>
      </c>
      <c r="C13" s="434">
        <f>C14+C15</f>
        <v>186000</v>
      </c>
      <c r="D13" s="434">
        <f>D14+D15</f>
        <v>121566</v>
      </c>
      <c r="E13" s="434">
        <f t="shared" ref="E13:E20" si="4">C13-D13</f>
        <v>64434</v>
      </c>
      <c r="F13" s="434">
        <f t="shared" si="3"/>
        <v>65.358064516129033</v>
      </c>
      <c r="G13" s="416" t="s">
        <v>192</v>
      </c>
    </row>
    <row r="14" spans="1:8" s="3" customFormat="1" ht="21" x14ac:dyDescent="0.35">
      <c r="A14" s="615"/>
      <c r="B14" s="431" t="s">
        <v>850</v>
      </c>
      <c r="C14" s="436">
        <v>50000</v>
      </c>
      <c r="D14" s="436">
        <f>15120+4400+2250+9500+4000+1680</f>
        <v>36950</v>
      </c>
      <c r="E14" s="436">
        <f t="shared" si="4"/>
        <v>13050</v>
      </c>
      <c r="F14" s="436">
        <f t="shared" si="3"/>
        <v>73.900000000000006</v>
      </c>
      <c r="G14" s="422"/>
    </row>
    <row r="15" spans="1:8" s="3" customFormat="1" ht="21" x14ac:dyDescent="0.35">
      <c r="A15" s="615"/>
      <c r="B15" s="431" t="s">
        <v>851</v>
      </c>
      <c r="C15" s="436">
        <v>136000</v>
      </c>
      <c r="D15" s="436">
        <f>250+84366</f>
        <v>84616</v>
      </c>
      <c r="E15" s="436">
        <f t="shared" si="4"/>
        <v>51384</v>
      </c>
      <c r="F15" s="436">
        <f t="shared" si="3"/>
        <v>62.21764705882353</v>
      </c>
      <c r="G15" s="422"/>
    </row>
    <row r="16" spans="1:8" s="418" customFormat="1" ht="21" x14ac:dyDescent="0.35">
      <c r="A16" s="617">
        <v>4</v>
      </c>
      <c r="B16" s="432" t="s">
        <v>856</v>
      </c>
      <c r="C16" s="437">
        <v>50000</v>
      </c>
      <c r="D16" s="434">
        <f>565+245+220+230+840+840+840+792+4408+2280+1980+220+230+220+340+265+1912+1080+4160+1770+1352+840+1080+230</f>
        <v>26939</v>
      </c>
      <c r="E16" s="434">
        <f t="shared" si="4"/>
        <v>23061</v>
      </c>
      <c r="F16" s="434">
        <f t="shared" ref="F16:F21" si="5">D16*100/C16</f>
        <v>53.878</v>
      </c>
      <c r="G16" s="416" t="s">
        <v>192</v>
      </c>
    </row>
    <row r="17" spans="1:7" s="418" customFormat="1" ht="42" x14ac:dyDescent="0.35">
      <c r="A17" s="618">
        <v>5</v>
      </c>
      <c r="B17" s="430" t="s">
        <v>852</v>
      </c>
      <c r="C17" s="621">
        <v>1700000</v>
      </c>
      <c r="D17" s="438">
        <f>D18+D19</f>
        <v>34000</v>
      </c>
      <c r="E17" s="437">
        <f t="shared" si="4"/>
        <v>1666000</v>
      </c>
      <c r="F17" s="437">
        <f t="shared" si="5"/>
        <v>2</v>
      </c>
      <c r="G17" s="416" t="s">
        <v>192</v>
      </c>
    </row>
    <row r="18" spans="1:7" s="418" customFormat="1" ht="42" x14ac:dyDescent="0.35">
      <c r="A18" s="618"/>
      <c r="B18" s="430" t="s">
        <v>1045</v>
      </c>
      <c r="C18" s="621">
        <v>400000</v>
      </c>
      <c r="D18" s="438">
        <v>0</v>
      </c>
      <c r="E18" s="437">
        <f t="shared" si="4"/>
        <v>400000</v>
      </c>
      <c r="F18" s="437">
        <f t="shared" si="5"/>
        <v>0</v>
      </c>
      <c r="G18" s="416"/>
    </row>
    <row r="19" spans="1:7" s="418" customFormat="1" ht="63" x14ac:dyDescent="0.35">
      <c r="A19" s="618"/>
      <c r="B19" s="430" t="s">
        <v>1046</v>
      </c>
      <c r="C19" s="621">
        <v>34000</v>
      </c>
      <c r="D19" s="438">
        <v>34000</v>
      </c>
      <c r="E19" s="437">
        <f>C19-D19</f>
        <v>0</v>
      </c>
      <c r="F19" s="437">
        <f t="shared" si="5"/>
        <v>100</v>
      </c>
      <c r="G19" s="416"/>
    </row>
    <row r="20" spans="1:7" s="418" customFormat="1" ht="42" x14ac:dyDescent="0.35">
      <c r="A20" s="619">
        <v>6</v>
      </c>
      <c r="B20" s="419" t="s">
        <v>853</v>
      </c>
      <c r="C20" s="434">
        <v>300000</v>
      </c>
      <c r="D20" s="434">
        <f>3900+5400+9610+6750</f>
        <v>25660</v>
      </c>
      <c r="E20" s="437">
        <f t="shared" si="4"/>
        <v>274340</v>
      </c>
      <c r="F20" s="437">
        <f t="shared" si="5"/>
        <v>8.5533333333333328</v>
      </c>
      <c r="G20" s="416" t="s">
        <v>192</v>
      </c>
    </row>
    <row r="21" spans="1:7" s="418" customFormat="1" ht="21" x14ac:dyDescent="0.35">
      <c r="A21" s="617"/>
      <c r="B21" s="423" t="s">
        <v>112</v>
      </c>
      <c r="C21" s="434">
        <f>C6+C10+C13+C16+C17+C20</f>
        <v>2500000</v>
      </c>
      <c r="D21" s="434">
        <f>D6+D10+D13+D16+D17+D20</f>
        <v>435295</v>
      </c>
      <c r="E21" s="434">
        <f>E6+E10+E13+E16+E17+E20</f>
        <v>2064705</v>
      </c>
      <c r="F21" s="434">
        <f t="shared" si="5"/>
        <v>17.411799999999999</v>
      </c>
      <c r="G21" s="424"/>
    </row>
  </sheetData>
  <mergeCells count="8">
    <mergeCell ref="A1:G1"/>
    <mergeCell ref="A2:G2"/>
    <mergeCell ref="D3:G3"/>
    <mergeCell ref="A4:A5"/>
    <mergeCell ref="B4:B5"/>
    <mergeCell ref="C4:C5"/>
    <mergeCell ref="D4:F4"/>
    <mergeCell ref="G4:G5"/>
  </mergeCells>
  <pageMargins left="0.19685039370078741" right="0.19685039370078741" top="0.27559055118110237" bottom="0.31496062992125984" header="0.31496062992125984" footer="0.31496062992125984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8"/>
  <sheetViews>
    <sheetView view="pageBreakPreview" zoomScale="90" zoomScaleNormal="90" zoomScaleSheetLayoutView="90" workbookViewId="0">
      <pane xSplit="7" ySplit="8" topLeftCell="J15" activePane="bottomRight" state="frozen"/>
      <selection pane="topRight" activeCell="G1" sqref="G1"/>
      <selection pane="bottomLeft" activeCell="A8" sqref="A8"/>
      <selection pane="bottomRight" activeCell="M56" sqref="M56"/>
    </sheetView>
  </sheetViews>
  <sheetFormatPr defaultRowHeight="14.25" x14ac:dyDescent="0.2"/>
  <cols>
    <col min="1" max="1" width="3" style="533" customWidth="1"/>
    <col min="2" max="2" width="37.625" style="533" customWidth="1"/>
    <col min="3" max="3" width="12.25" style="533" customWidth="1"/>
    <col min="4" max="4" width="12.625" style="533" customWidth="1"/>
    <col min="5" max="5" width="12.125" style="533" customWidth="1"/>
    <col min="6" max="6" width="9.875" style="533" customWidth="1"/>
    <col min="7" max="7" width="9.5" style="533" customWidth="1"/>
    <col min="8" max="8" width="10.375" style="533" customWidth="1"/>
    <col min="9" max="9" width="11.875" style="533" customWidth="1"/>
    <col min="10" max="10" width="11.375" style="533" customWidth="1"/>
    <col min="11" max="11" width="11.875" style="533" customWidth="1"/>
    <col min="12" max="12" width="12" style="533" customWidth="1"/>
    <col min="13" max="13" width="6.625" style="533" customWidth="1"/>
    <col min="14" max="15" width="14.375" style="533" customWidth="1"/>
    <col min="16" max="16" width="14.125" style="533" customWidth="1"/>
    <col min="17" max="17" width="9" style="533" customWidth="1"/>
    <col min="18" max="18" width="14.125" style="533" customWidth="1"/>
    <col min="19" max="19" width="14.125" style="533" bestFit="1" customWidth="1"/>
    <col min="20" max="16384" width="9" style="533"/>
  </cols>
  <sheetData>
    <row r="1" spans="1:19" ht="21" customHeight="1" x14ac:dyDescent="0.2">
      <c r="A1" s="782" t="s">
        <v>139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539">
        <f>C7-J7</f>
        <v>88504114.920000002</v>
      </c>
    </row>
    <row r="2" spans="1:19" ht="18" customHeight="1" x14ac:dyDescent="0.2">
      <c r="A2" s="782" t="s">
        <v>75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</row>
    <row r="3" spans="1:19" ht="22.5" customHeight="1" x14ac:dyDescent="0.2">
      <c r="A3" s="782" t="s">
        <v>113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539">
        <f>J7+K7+L7</f>
        <v>93908699.999999985</v>
      </c>
    </row>
    <row r="4" spans="1:19" ht="21" x14ac:dyDescent="0.2">
      <c r="J4" s="788" t="s">
        <v>1049</v>
      </c>
      <c r="K4" s="788"/>
      <c r="L4" s="788"/>
      <c r="M4" s="788"/>
      <c r="N4" s="788"/>
      <c r="O4" s="534"/>
      <c r="P4" s="534"/>
    </row>
    <row r="5" spans="1:19" ht="19.5" customHeight="1" x14ac:dyDescent="0.2">
      <c r="A5" s="783" t="s">
        <v>76</v>
      </c>
      <c r="B5" s="783" t="s">
        <v>77</v>
      </c>
      <c r="C5" s="783" t="s">
        <v>78</v>
      </c>
      <c r="D5" s="783"/>
      <c r="E5" s="783"/>
      <c r="F5" s="785" t="s">
        <v>186</v>
      </c>
      <c r="G5" s="786"/>
      <c r="H5" s="786"/>
      <c r="I5" s="786"/>
      <c r="J5" s="787"/>
      <c r="K5" s="783" t="s">
        <v>72</v>
      </c>
      <c r="L5" s="783"/>
      <c r="M5" s="783"/>
      <c r="N5" s="784" t="s">
        <v>79</v>
      </c>
      <c r="O5" s="2"/>
    </row>
    <row r="6" spans="1:19" ht="40.5" customHeight="1" x14ac:dyDescent="0.2">
      <c r="A6" s="783"/>
      <c r="B6" s="783"/>
      <c r="C6" s="36" t="s">
        <v>112</v>
      </c>
      <c r="D6" s="37" t="s">
        <v>80</v>
      </c>
      <c r="E6" s="37" t="s">
        <v>81</v>
      </c>
      <c r="F6" s="441" t="s">
        <v>190</v>
      </c>
      <c r="G6" s="440" t="s">
        <v>71</v>
      </c>
      <c r="H6" s="441" t="s">
        <v>245</v>
      </c>
      <c r="I6" s="441" t="s">
        <v>82</v>
      </c>
      <c r="J6" s="441" t="s">
        <v>284</v>
      </c>
      <c r="K6" s="440" t="s">
        <v>246</v>
      </c>
      <c r="L6" s="440" t="s">
        <v>73</v>
      </c>
      <c r="M6" s="440" t="s">
        <v>74</v>
      </c>
      <c r="N6" s="784"/>
      <c r="O6" s="2" t="s">
        <v>80</v>
      </c>
      <c r="P6" s="221" t="s">
        <v>81</v>
      </c>
    </row>
    <row r="7" spans="1:19" ht="21" customHeight="1" x14ac:dyDescent="0.2">
      <c r="A7" s="440"/>
      <c r="B7" s="440" t="s">
        <v>140</v>
      </c>
      <c r="C7" s="535">
        <f>D7+E7</f>
        <v>93962000</v>
      </c>
      <c r="D7" s="536">
        <f>D8+D38+D47</f>
        <v>74923700</v>
      </c>
      <c r="E7" s="536">
        <f>E8+E38+E47</f>
        <v>19038300</v>
      </c>
      <c r="F7" s="536"/>
      <c r="G7" s="440"/>
      <c r="H7" s="440"/>
      <c r="I7" s="536">
        <f>I8+I38+I47</f>
        <v>74166151</v>
      </c>
      <c r="J7" s="536">
        <f>J8+J38+J47</f>
        <v>5457885.0800000001</v>
      </c>
      <c r="K7" s="537">
        <f>K8+K38+K47</f>
        <v>83048946.919999987</v>
      </c>
      <c r="L7" s="537">
        <f>L8+L38+L47</f>
        <v>5401868</v>
      </c>
      <c r="M7" s="538">
        <f>K7*100/C7</f>
        <v>88.385673910729864</v>
      </c>
      <c r="N7" s="441"/>
      <c r="O7" s="222">
        <f>K16+K23+K30+K34+K36+K39+K48</f>
        <v>71713379</v>
      </c>
      <c r="P7" s="539">
        <f>K11+K15+K22+K25+K26+K27+K29+K32+K33+K41+K50</f>
        <v>11335567.92</v>
      </c>
      <c r="S7" s="539"/>
    </row>
    <row r="8" spans="1:19" ht="39" customHeight="1" x14ac:dyDescent="0.2">
      <c r="A8" s="540"/>
      <c r="B8" s="541" t="s">
        <v>83</v>
      </c>
      <c r="C8" s="536">
        <f>C9+C34+C36</f>
        <v>38467300</v>
      </c>
      <c r="D8" s="536">
        <f>D9+D34+D36</f>
        <v>27829000</v>
      </c>
      <c r="E8" s="536">
        <f>E9+E34+E36</f>
        <v>10638300</v>
      </c>
      <c r="F8" s="49" t="s">
        <v>739</v>
      </c>
      <c r="G8" s="542"/>
      <c r="H8" s="542"/>
      <c r="I8" s="542">
        <f>I9+I34+I36</f>
        <v>27661000</v>
      </c>
      <c r="J8" s="542">
        <f>J9+J34+J36</f>
        <v>2359595.7399999998</v>
      </c>
      <c r="K8" s="536">
        <f>K9+K34+K36</f>
        <v>33527536.259999998</v>
      </c>
      <c r="L8" s="536">
        <f>L9+L34+L36</f>
        <v>2470968</v>
      </c>
      <c r="M8" s="542">
        <f>K8*100/C8</f>
        <v>87.158537927018529</v>
      </c>
      <c r="N8" s="540"/>
      <c r="O8" s="543">
        <f>O7*100/D7</f>
        <v>95.715212943300983</v>
      </c>
      <c r="P8" s="544">
        <f>P7*100/E7</f>
        <v>59.540861946707423</v>
      </c>
      <c r="R8" s="539">
        <f>O7+P7</f>
        <v>83048946.920000002</v>
      </c>
    </row>
    <row r="9" spans="1:19" ht="39.75" customHeight="1" x14ac:dyDescent="0.2">
      <c r="A9" s="540">
        <v>1</v>
      </c>
      <c r="B9" s="541" t="s">
        <v>84</v>
      </c>
      <c r="C9" s="536">
        <f>C10+C26+C27+C28+C32+C33</f>
        <v>11567300</v>
      </c>
      <c r="D9" s="536">
        <f>D10+D26+D27+D28+D32+D33</f>
        <v>929000</v>
      </c>
      <c r="E9" s="536">
        <f>E10+E26+E27+E28+E32+E33</f>
        <v>10638300</v>
      </c>
      <c r="F9" s="49"/>
      <c r="G9" s="542"/>
      <c r="H9" s="542"/>
      <c r="I9" s="542">
        <f>I10+I26+I27+I28+I32+I33</f>
        <v>926000</v>
      </c>
      <c r="J9" s="542">
        <f>J10+J26+J27+J28+J32+J33</f>
        <v>2194595.7399999998</v>
      </c>
      <c r="K9" s="536">
        <f>K10+K26+K27+K28+K32+K33</f>
        <v>6792536.2599999998</v>
      </c>
      <c r="L9" s="536">
        <f>L10+L26+L27+L28+L32+L33</f>
        <v>2470968</v>
      </c>
      <c r="M9" s="540"/>
      <c r="N9" s="50" t="s">
        <v>137</v>
      </c>
      <c r="O9" s="545"/>
    </row>
    <row r="10" spans="1:19" ht="25.5" customHeight="1" x14ac:dyDescent="0.2">
      <c r="A10" s="546"/>
      <c r="B10" s="546" t="s">
        <v>85</v>
      </c>
      <c r="C10" s="547">
        <f>C11+C14+C21+C25</f>
        <v>4972960</v>
      </c>
      <c r="D10" s="547">
        <f t="shared" ref="D10:E10" si="0">D11+D14+D21+D25</f>
        <v>889000</v>
      </c>
      <c r="E10" s="547">
        <f t="shared" si="0"/>
        <v>4083960</v>
      </c>
      <c r="F10" s="547"/>
      <c r="G10" s="548"/>
      <c r="H10" s="548"/>
      <c r="I10" s="548">
        <f>I11+I14+I21+I25</f>
        <v>886000</v>
      </c>
      <c r="J10" s="548">
        <f>J11+J14+J21+J25</f>
        <v>192037.84</v>
      </c>
      <c r="K10" s="547">
        <f>K11+K14+K21+K25</f>
        <v>4532528.16</v>
      </c>
      <c r="L10" s="547">
        <f>L11+L14+L21+L25</f>
        <v>139194</v>
      </c>
      <c r="M10" s="549">
        <f>K10*100/C10</f>
        <v>91.143467069914095</v>
      </c>
      <c r="N10" s="550"/>
      <c r="O10" s="545"/>
    </row>
    <row r="11" spans="1:19" s="717" customFormat="1" ht="33" customHeight="1" x14ac:dyDescent="0.2">
      <c r="A11" s="711"/>
      <c r="B11" s="711" t="s">
        <v>86</v>
      </c>
      <c r="C11" s="712">
        <v>693600</v>
      </c>
      <c r="D11" s="712">
        <v>0</v>
      </c>
      <c r="E11" s="712">
        <v>693600</v>
      </c>
      <c r="F11" s="713" t="s">
        <v>739</v>
      </c>
      <c r="G11" s="714"/>
      <c r="H11" s="714"/>
      <c r="I11" s="714"/>
      <c r="J11" s="714">
        <v>53062</v>
      </c>
      <c r="K11" s="714">
        <f>K12+K13</f>
        <v>529338</v>
      </c>
      <c r="L11" s="714">
        <f>E11-K11-J11-O11</f>
        <v>2000</v>
      </c>
      <c r="M11" s="712">
        <f>K11*100/E11</f>
        <v>76.317474048442904</v>
      </c>
      <c r="N11" s="715" t="s">
        <v>115</v>
      </c>
      <c r="O11" s="716">
        <v>109200</v>
      </c>
    </row>
    <row r="12" spans="1:19" ht="39" customHeight="1" x14ac:dyDescent="0.2">
      <c r="A12" s="546"/>
      <c r="B12" s="551" t="s">
        <v>87</v>
      </c>
      <c r="C12" s="547"/>
      <c r="D12" s="547"/>
      <c r="E12" s="547"/>
      <c r="F12" s="547"/>
      <c r="G12" s="548"/>
      <c r="H12" s="548"/>
      <c r="I12" s="548"/>
      <c r="J12" s="548"/>
      <c r="K12" s="548">
        <f>41400+2500+12000+6400+27000+3000+4238+45000</f>
        <v>141538</v>
      </c>
      <c r="L12" s="548"/>
      <c r="M12" s="552"/>
      <c r="N12" s="550"/>
      <c r="O12" s="545"/>
    </row>
    <row r="13" spans="1:19" ht="37.5" x14ac:dyDescent="0.2">
      <c r="A13" s="546"/>
      <c r="B13" s="551" t="s">
        <v>88</v>
      </c>
      <c r="C13" s="547"/>
      <c r="D13" s="547"/>
      <c r="E13" s="547"/>
      <c r="F13" s="547"/>
      <c r="G13" s="548"/>
      <c r="H13" s="548"/>
      <c r="I13" s="548"/>
      <c r="J13" s="548"/>
      <c r="K13" s="548">
        <f>328000+46800+13000</f>
        <v>387800</v>
      </c>
      <c r="L13" s="548"/>
      <c r="M13" s="546"/>
      <c r="N13" s="550"/>
      <c r="O13" s="545"/>
    </row>
    <row r="14" spans="1:19" ht="39" customHeight="1" x14ac:dyDescent="0.2">
      <c r="A14" s="546"/>
      <c r="B14" s="551" t="s">
        <v>89</v>
      </c>
      <c r="C14" s="547">
        <f>D14+E14</f>
        <v>3186660</v>
      </c>
      <c r="D14" s="547">
        <f>D16</f>
        <v>790000</v>
      </c>
      <c r="E14" s="547">
        <f>E15</f>
        <v>2396660</v>
      </c>
      <c r="F14" s="547"/>
      <c r="G14" s="548"/>
      <c r="H14" s="548"/>
      <c r="I14" s="548">
        <f>I15+I16</f>
        <v>788500</v>
      </c>
      <c r="J14" s="548">
        <f>J15+J16</f>
        <v>81945.84</v>
      </c>
      <c r="K14" s="548">
        <f>K15+K16</f>
        <v>3104714.16</v>
      </c>
      <c r="L14" s="548">
        <f>L15+L16</f>
        <v>0</v>
      </c>
      <c r="M14" s="549">
        <v>100</v>
      </c>
      <c r="N14" s="50" t="s">
        <v>116</v>
      </c>
      <c r="O14" s="545"/>
    </row>
    <row r="15" spans="1:19" ht="21" x14ac:dyDescent="0.2">
      <c r="A15" s="546"/>
      <c r="B15" s="551" t="s">
        <v>134</v>
      </c>
      <c r="C15" s="547"/>
      <c r="D15" s="547"/>
      <c r="E15" s="547">
        <v>2396660</v>
      </c>
      <c r="F15" s="49" t="s">
        <v>353</v>
      </c>
      <c r="G15" s="548"/>
      <c r="H15" s="548"/>
      <c r="I15" s="548"/>
      <c r="J15" s="548">
        <f>79695.84+750</f>
        <v>80445.84</v>
      </c>
      <c r="K15" s="548">
        <f>52800+41250+27200+74500+44000+90000+19360+24500+11221.12+12071.15+1502000+9711.89+15000+90000+27600+35000+240000</f>
        <v>2316214.16</v>
      </c>
      <c r="L15" s="548">
        <v>0</v>
      </c>
      <c r="M15" s="548">
        <v>100</v>
      </c>
      <c r="N15" s="50"/>
      <c r="O15" s="545"/>
    </row>
    <row r="16" spans="1:19" ht="21" x14ac:dyDescent="0.2">
      <c r="A16" s="546"/>
      <c r="B16" s="551" t="s">
        <v>136</v>
      </c>
      <c r="C16" s="547"/>
      <c r="D16" s="547">
        <f>D17+D18+D19+D20</f>
        <v>790000</v>
      </c>
      <c r="E16" s="547"/>
      <c r="F16" s="547"/>
      <c r="G16" s="548"/>
      <c r="H16" s="548"/>
      <c r="I16" s="548">
        <f>I17+I18+I19+I20</f>
        <v>788500</v>
      </c>
      <c r="J16" s="548">
        <f>J17+J18+J19+J20</f>
        <v>1500</v>
      </c>
      <c r="K16" s="548">
        <f>K17+K18+K19+K20</f>
        <v>788500</v>
      </c>
      <c r="L16" s="548">
        <v>0</v>
      </c>
      <c r="M16" s="548">
        <v>100</v>
      </c>
      <c r="N16" s="50"/>
      <c r="O16" s="545"/>
    </row>
    <row r="17" spans="1:15" ht="47.25" x14ac:dyDescent="0.2">
      <c r="A17" s="546"/>
      <c r="B17" s="551" t="s">
        <v>130</v>
      </c>
      <c r="C17" s="547"/>
      <c r="D17" s="547">
        <v>450000</v>
      </c>
      <c r="E17" s="547"/>
      <c r="F17" s="49" t="s">
        <v>353</v>
      </c>
      <c r="G17" s="49" t="s">
        <v>314</v>
      </c>
      <c r="H17" s="110" t="s">
        <v>337</v>
      </c>
      <c r="I17" s="548">
        <v>449500</v>
      </c>
      <c r="J17" s="548">
        <f>D17-I17</f>
        <v>500</v>
      </c>
      <c r="K17" s="548">
        <v>449500</v>
      </c>
      <c r="L17" s="548">
        <f>D17-K17-J17</f>
        <v>0</v>
      </c>
      <c r="M17" s="548">
        <f>K17*100/I17</f>
        <v>100</v>
      </c>
      <c r="N17" s="50"/>
      <c r="O17" s="545"/>
    </row>
    <row r="18" spans="1:15" ht="47.25" x14ac:dyDescent="0.2">
      <c r="A18" s="546"/>
      <c r="B18" s="551" t="s">
        <v>131</v>
      </c>
      <c r="C18" s="547"/>
      <c r="D18" s="547">
        <v>50000</v>
      </c>
      <c r="E18" s="547"/>
      <c r="F18" s="49" t="s">
        <v>353</v>
      </c>
      <c r="G18" s="49" t="s">
        <v>313</v>
      </c>
      <c r="H18" s="110" t="s">
        <v>337</v>
      </c>
      <c r="I18" s="548">
        <v>50000</v>
      </c>
      <c r="J18" s="548">
        <f t="shared" ref="J18:J20" si="1">D18-I18</f>
        <v>0</v>
      </c>
      <c r="K18" s="548">
        <v>50000</v>
      </c>
      <c r="L18" s="548">
        <f t="shared" ref="L18" si="2">D18-K18</f>
        <v>0</v>
      </c>
      <c r="M18" s="548">
        <f t="shared" ref="M18:M19" si="3">K18*100/I18</f>
        <v>100</v>
      </c>
      <c r="N18" s="50"/>
      <c r="O18" s="545"/>
    </row>
    <row r="19" spans="1:15" ht="47.25" x14ac:dyDescent="0.2">
      <c r="A19" s="546"/>
      <c r="B19" s="551" t="s">
        <v>132</v>
      </c>
      <c r="C19" s="547"/>
      <c r="D19" s="547">
        <v>170000</v>
      </c>
      <c r="E19" s="547"/>
      <c r="F19" s="49" t="s">
        <v>353</v>
      </c>
      <c r="G19" s="49" t="s">
        <v>313</v>
      </c>
      <c r="H19" s="110" t="s">
        <v>337</v>
      </c>
      <c r="I19" s="548">
        <v>169500</v>
      </c>
      <c r="J19" s="548">
        <f t="shared" si="1"/>
        <v>500</v>
      </c>
      <c r="K19" s="548">
        <v>169500</v>
      </c>
      <c r="L19" s="548">
        <f>D19-K19-J19</f>
        <v>0</v>
      </c>
      <c r="M19" s="548">
        <f t="shared" si="3"/>
        <v>100</v>
      </c>
      <c r="N19" s="50"/>
      <c r="O19" s="545"/>
    </row>
    <row r="20" spans="1:15" ht="47.25" x14ac:dyDescent="0.2">
      <c r="A20" s="546"/>
      <c r="B20" s="551" t="s">
        <v>133</v>
      </c>
      <c r="C20" s="547"/>
      <c r="D20" s="547">
        <v>120000</v>
      </c>
      <c r="E20" s="547"/>
      <c r="F20" s="49" t="s">
        <v>353</v>
      </c>
      <c r="G20" s="49" t="s">
        <v>313</v>
      </c>
      <c r="H20" s="110" t="s">
        <v>337</v>
      </c>
      <c r="I20" s="548">
        <v>119500</v>
      </c>
      <c r="J20" s="548">
        <f t="shared" si="1"/>
        <v>500</v>
      </c>
      <c r="K20" s="548">
        <v>119500</v>
      </c>
      <c r="L20" s="548">
        <v>0</v>
      </c>
      <c r="M20" s="548">
        <f>K20*100/I20</f>
        <v>100</v>
      </c>
      <c r="N20" s="50"/>
      <c r="O20" s="545"/>
    </row>
    <row r="21" spans="1:15" ht="21" x14ac:dyDescent="0.2">
      <c r="A21" s="546"/>
      <c r="B21" s="546" t="s">
        <v>90</v>
      </c>
      <c r="C21" s="547">
        <f>D21+E21</f>
        <v>820000</v>
      </c>
      <c r="D21" s="547">
        <f>D23</f>
        <v>99000</v>
      </c>
      <c r="E21" s="547">
        <f>E22</f>
        <v>721000</v>
      </c>
      <c r="F21" s="547"/>
      <c r="G21" s="548"/>
      <c r="H21" s="548"/>
      <c r="I21" s="548">
        <f>I22+I23</f>
        <v>97500</v>
      </c>
      <c r="J21" s="548">
        <f>J22+J23</f>
        <v>32550</v>
      </c>
      <c r="K21" s="548">
        <f>K22+K23</f>
        <v>650256</v>
      </c>
      <c r="L21" s="548">
        <f>L22+L23</f>
        <v>137194</v>
      </c>
      <c r="M21" s="549">
        <f>K21*100/C21</f>
        <v>79.299512195121949</v>
      </c>
      <c r="N21" s="50" t="s">
        <v>117</v>
      </c>
      <c r="O21" s="545"/>
    </row>
    <row r="22" spans="1:15" s="717" customFormat="1" ht="31.5" x14ac:dyDescent="0.2">
      <c r="A22" s="711"/>
      <c r="B22" s="718" t="s">
        <v>134</v>
      </c>
      <c r="C22" s="712"/>
      <c r="D22" s="712"/>
      <c r="E22" s="712">
        <v>721000</v>
      </c>
      <c r="F22" s="713" t="s">
        <v>739</v>
      </c>
      <c r="G22" s="714"/>
      <c r="H22" s="714"/>
      <c r="I22" s="714"/>
      <c r="J22" s="714">
        <v>31050</v>
      </c>
      <c r="K22" s="714">
        <f>70800+20000+10000+87500+66700+20000+1950+24000+1400+4000+20000+24000+32100+2960+3040+2340+1850+690+40500+8400+14400+36000+37050+4990+4996+2940+3000+7150</f>
        <v>552756</v>
      </c>
      <c r="L22" s="714">
        <f>E22-K22-J22</f>
        <v>137194</v>
      </c>
      <c r="M22" s="719">
        <f>K22*100/E22</f>
        <v>76.665187239944515</v>
      </c>
      <c r="N22" s="715"/>
      <c r="O22" s="716"/>
    </row>
    <row r="23" spans="1:15" ht="21" x14ac:dyDescent="0.2">
      <c r="A23" s="546"/>
      <c r="B23" s="551" t="s">
        <v>136</v>
      </c>
      <c r="C23" s="547"/>
      <c r="D23" s="547">
        <f>D24</f>
        <v>99000</v>
      </c>
      <c r="E23" s="547"/>
      <c r="F23" s="547"/>
      <c r="G23" s="548"/>
      <c r="H23" s="548"/>
      <c r="I23" s="548">
        <f>I24</f>
        <v>97500</v>
      </c>
      <c r="J23" s="548">
        <f>J24</f>
        <v>1500</v>
      </c>
      <c r="K23" s="548">
        <f>K24</f>
        <v>97500</v>
      </c>
      <c r="L23" s="548">
        <v>0</v>
      </c>
      <c r="M23" s="549">
        <v>100</v>
      </c>
      <c r="N23" s="50"/>
      <c r="O23" s="545"/>
    </row>
    <row r="24" spans="1:15" ht="31.5" x14ac:dyDescent="0.2">
      <c r="A24" s="546"/>
      <c r="B24" s="551" t="s">
        <v>135</v>
      </c>
      <c r="C24" s="547"/>
      <c r="D24" s="547">
        <v>99000</v>
      </c>
      <c r="E24" s="547"/>
      <c r="F24" s="49" t="s">
        <v>353</v>
      </c>
      <c r="G24" s="49" t="s">
        <v>311</v>
      </c>
      <c r="H24" s="49" t="s">
        <v>641</v>
      </c>
      <c r="I24" s="548">
        <v>97500</v>
      </c>
      <c r="J24" s="548">
        <f>D24-I24</f>
        <v>1500</v>
      </c>
      <c r="K24" s="548">
        <v>97500</v>
      </c>
      <c r="L24" s="548">
        <f>D24-K24-J24</f>
        <v>0</v>
      </c>
      <c r="M24" s="549">
        <v>100</v>
      </c>
      <c r="N24" s="50"/>
      <c r="O24" s="545"/>
    </row>
    <row r="25" spans="1:15" ht="38.25" customHeight="1" x14ac:dyDescent="0.2">
      <c r="A25" s="546"/>
      <c r="B25" s="551" t="s">
        <v>91</v>
      </c>
      <c r="C25" s="547">
        <v>272700</v>
      </c>
      <c r="D25" s="547"/>
      <c r="E25" s="547">
        <v>272700</v>
      </c>
      <c r="F25" s="49" t="s">
        <v>353</v>
      </c>
      <c r="G25" s="548"/>
      <c r="H25" s="548"/>
      <c r="I25" s="548"/>
      <c r="J25" s="548">
        <v>24480</v>
      </c>
      <c r="K25" s="548">
        <f>128300+33000+5744+77000+4176</f>
        <v>248220</v>
      </c>
      <c r="L25" s="548">
        <f>C25-K25-J25</f>
        <v>0</v>
      </c>
      <c r="M25" s="549">
        <v>100</v>
      </c>
      <c r="N25" s="50" t="s">
        <v>836</v>
      </c>
      <c r="O25" s="545"/>
    </row>
    <row r="26" spans="1:15" ht="21" x14ac:dyDescent="0.2">
      <c r="A26" s="546"/>
      <c r="B26" s="546" t="s">
        <v>92</v>
      </c>
      <c r="C26" s="547">
        <f>E26</f>
        <v>200000</v>
      </c>
      <c r="D26" s="547"/>
      <c r="E26" s="547">
        <v>200000</v>
      </c>
      <c r="F26" s="49" t="s">
        <v>353</v>
      </c>
      <c r="G26" s="548"/>
      <c r="H26" s="548"/>
      <c r="I26" s="548"/>
      <c r="J26" s="548"/>
      <c r="K26" s="548">
        <v>200000</v>
      </c>
      <c r="L26" s="548">
        <f>C26-K26</f>
        <v>0</v>
      </c>
      <c r="M26" s="547">
        <f>K26*100/C26</f>
        <v>100</v>
      </c>
      <c r="N26" s="50" t="s">
        <v>141</v>
      </c>
      <c r="O26" s="545"/>
    </row>
    <row r="27" spans="1:15" ht="45" customHeight="1" x14ac:dyDescent="0.2">
      <c r="A27" s="546"/>
      <c r="B27" s="551" t="s">
        <v>93</v>
      </c>
      <c r="C27" s="547">
        <f>E27</f>
        <v>250000</v>
      </c>
      <c r="D27" s="547"/>
      <c r="E27" s="547">
        <v>250000</v>
      </c>
      <c r="F27" s="49" t="s">
        <v>353</v>
      </c>
      <c r="G27" s="548"/>
      <c r="H27" s="548"/>
      <c r="I27" s="548"/>
      <c r="J27" s="548">
        <v>7700</v>
      </c>
      <c r="K27" s="548">
        <f>188100+45000-2050+11250</f>
        <v>242300</v>
      </c>
      <c r="L27" s="548">
        <f>C27-K27-J27</f>
        <v>0</v>
      </c>
      <c r="M27" s="548">
        <v>100</v>
      </c>
      <c r="N27" s="50" t="s">
        <v>707</v>
      </c>
      <c r="O27" s="545"/>
    </row>
    <row r="28" spans="1:15" ht="42.75" customHeight="1" x14ac:dyDescent="0.2">
      <c r="A28" s="546"/>
      <c r="B28" s="551" t="s">
        <v>94</v>
      </c>
      <c r="C28" s="547">
        <f>D28+E28</f>
        <v>773200</v>
      </c>
      <c r="D28" s="547">
        <f>D30</f>
        <v>40000</v>
      </c>
      <c r="E28" s="547">
        <f>E29</f>
        <v>733200</v>
      </c>
      <c r="F28" s="49" t="s">
        <v>739</v>
      </c>
      <c r="G28" s="548"/>
      <c r="H28" s="548"/>
      <c r="I28" s="548">
        <f>I29+I30</f>
        <v>40000</v>
      </c>
      <c r="J28" s="548">
        <f>J29+J30</f>
        <v>81857</v>
      </c>
      <c r="K28" s="548">
        <f>K29+K30</f>
        <v>653743</v>
      </c>
      <c r="L28" s="548">
        <f>L29+L30</f>
        <v>37600</v>
      </c>
      <c r="M28" s="549">
        <f>K28*100/C28</f>
        <v>84.550310398344536</v>
      </c>
      <c r="N28" s="50" t="s">
        <v>118</v>
      </c>
      <c r="O28" s="545"/>
    </row>
    <row r="29" spans="1:15" s="717" customFormat="1" ht="31.5" x14ac:dyDescent="0.2">
      <c r="A29" s="711"/>
      <c r="B29" s="718" t="s">
        <v>134</v>
      </c>
      <c r="C29" s="712"/>
      <c r="D29" s="712"/>
      <c r="E29" s="712">
        <v>733200</v>
      </c>
      <c r="F29" s="713" t="s">
        <v>739</v>
      </c>
      <c r="G29" s="714"/>
      <c r="H29" s="714"/>
      <c r="I29" s="714"/>
      <c r="J29" s="714">
        <v>81857</v>
      </c>
      <c r="K29" s="714">
        <f>17600+15000+25000+142750+2400+5880+56200+18000-18775+10000+64000+4650+188000+14000+8000+9600+8000+6000+29988-7920+6730+8640</f>
        <v>613743</v>
      </c>
      <c r="L29" s="714">
        <f>E29-K29-J29</f>
        <v>37600</v>
      </c>
      <c r="M29" s="719">
        <f>K29*100/E29</f>
        <v>83.707446808510639</v>
      </c>
      <c r="N29" s="715"/>
      <c r="O29" s="716"/>
    </row>
    <row r="30" spans="1:15" ht="21" x14ac:dyDescent="0.2">
      <c r="A30" s="546"/>
      <c r="B30" s="551" t="s">
        <v>136</v>
      </c>
      <c r="C30" s="547"/>
      <c r="D30" s="547">
        <f>D31</f>
        <v>40000</v>
      </c>
      <c r="E30" s="547"/>
      <c r="F30" s="547"/>
      <c r="G30" s="548"/>
      <c r="H30" s="548"/>
      <c r="I30" s="548">
        <f>I31</f>
        <v>40000</v>
      </c>
      <c r="J30" s="548">
        <f>J31</f>
        <v>0</v>
      </c>
      <c r="K30" s="548">
        <f>K31</f>
        <v>40000</v>
      </c>
      <c r="L30" s="548">
        <f>D30-K30</f>
        <v>0</v>
      </c>
      <c r="M30" s="547">
        <f>K30*100/D30</f>
        <v>100</v>
      </c>
      <c r="N30" s="50"/>
      <c r="O30" s="545"/>
    </row>
    <row r="31" spans="1:15" ht="34.5" customHeight="1" x14ac:dyDescent="0.2">
      <c r="A31" s="546"/>
      <c r="B31" s="551" t="s">
        <v>138</v>
      </c>
      <c r="C31" s="547"/>
      <c r="D31" s="547">
        <v>40000</v>
      </c>
      <c r="E31" s="547"/>
      <c r="F31" s="49" t="s">
        <v>353</v>
      </c>
      <c r="G31" s="109" t="s">
        <v>335</v>
      </c>
      <c r="H31" s="106" t="s">
        <v>640</v>
      </c>
      <c r="I31" s="548">
        <v>40000</v>
      </c>
      <c r="J31" s="548">
        <f>D31-I31</f>
        <v>0</v>
      </c>
      <c r="K31" s="548">
        <v>40000</v>
      </c>
      <c r="L31" s="548"/>
      <c r="M31" s="546"/>
      <c r="N31" s="50"/>
      <c r="O31" s="545"/>
    </row>
    <row r="32" spans="1:15" s="717" customFormat="1" ht="31.5" x14ac:dyDescent="0.2">
      <c r="A32" s="711"/>
      <c r="B32" s="711" t="s">
        <v>95</v>
      </c>
      <c r="C32" s="712">
        <f>E32</f>
        <v>5246252</v>
      </c>
      <c r="D32" s="712"/>
      <c r="E32" s="712">
        <v>5246252</v>
      </c>
      <c r="F32" s="713" t="s">
        <v>739</v>
      </c>
      <c r="G32" s="714"/>
      <c r="H32" s="714"/>
      <c r="I32" s="714"/>
      <c r="J32" s="714">
        <v>1913000</v>
      </c>
      <c r="K32" s="714">
        <f>700+20820+17000+7500+500000+10058+487000</f>
        <v>1043078</v>
      </c>
      <c r="L32" s="714">
        <f>C32-K32-J32</f>
        <v>2290174</v>
      </c>
      <c r="M32" s="719">
        <f>K32*100/E32</f>
        <v>19.882346482784282</v>
      </c>
      <c r="N32" s="715" t="s">
        <v>119</v>
      </c>
      <c r="O32" s="716"/>
    </row>
    <row r="33" spans="1:16" s="717" customFormat="1" ht="31.5" x14ac:dyDescent="0.2">
      <c r="A33" s="711"/>
      <c r="B33" s="711" t="s">
        <v>96</v>
      </c>
      <c r="C33" s="712">
        <v>124888</v>
      </c>
      <c r="D33" s="712"/>
      <c r="E33" s="712">
        <v>124888</v>
      </c>
      <c r="F33" s="713" t="s">
        <v>739</v>
      </c>
      <c r="G33" s="714"/>
      <c r="H33" s="714"/>
      <c r="I33" s="714"/>
      <c r="J33" s="714">
        <v>0.9</v>
      </c>
      <c r="K33" s="714">
        <f>9500+4390+18201+3200+15596.1+70000</f>
        <v>120887.1</v>
      </c>
      <c r="L33" s="714">
        <f>C33-K33-J33</f>
        <v>3999.9999999999941</v>
      </c>
      <c r="M33" s="719">
        <f>K33*100/E33</f>
        <v>96.796409582986357</v>
      </c>
      <c r="N33" s="715" t="s">
        <v>118</v>
      </c>
      <c r="O33" s="716"/>
    </row>
    <row r="34" spans="1:16" ht="37.5" x14ac:dyDescent="0.2">
      <c r="A34" s="540">
        <v>2</v>
      </c>
      <c r="B34" s="541" t="s">
        <v>114</v>
      </c>
      <c r="C34" s="536">
        <f>D34</f>
        <v>20000000</v>
      </c>
      <c r="D34" s="536">
        <f>D35</f>
        <v>20000000</v>
      </c>
      <c r="E34" s="536">
        <f>E35</f>
        <v>0</v>
      </c>
      <c r="F34" s="49"/>
      <c r="G34" s="542"/>
      <c r="H34" s="542"/>
      <c r="I34" s="542">
        <f>I35</f>
        <v>19880000</v>
      </c>
      <c r="J34" s="542">
        <f>J35</f>
        <v>120000</v>
      </c>
      <c r="K34" s="542">
        <f>K35</f>
        <v>19880000</v>
      </c>
      <c r="L34" s="542">
        <f>L35</f>
        <v>0</v>
      </c>
      <c r="M34" s="553">
        <v>100</v>
      </c>
      <c r="N34" s="440"/>
      <c r="O34" s="545"/>
      <c r="P34" s="539"/>
    </row>
    <row r="35" spans="1:16" ht="77.25" customHeight="1" x14ac:dyDescent="0.2">
      <c r="A35" s="546"/>
      <c r="B35" s="551" t="s">
        <v>247</v>
      </c>
      <c r="C35" s="547"/>
      <c r="D35" s="547">
        <v>20000000</v>
      </c>
      <c r="E35" s="547">
        <v>0</v>
      </c>
      <c r="F35" s="49" t="s">
        <v>353</v>
      </c>
      <c r="G35" s="106" t="s">
        <v>312</v>
      </c>
      <c r="H35" s="316" t="s">
        <v>334</v>
      </c>
      <c r="I35" s="548">
        <v>19880000</v>
      </c>
      <c r="J35" s="548">
        <f>D35-I35</f>
        <v>120000</v>
      </c>
      <c r="K35" s="548">
        <f>2584400+5367600+11928000</f>
        <v>19880000</v>
      </c>
      <c r="L35" s="542">
        <f>D35-K35-J35</f>
        <v>0</v>
      </c>
      <c r="M35" s="548">
        <f>K35*100/I35</f>
        <v>100</v>
      </c>
      <c r="N35" s="50" t="s">
        <v>120</v>
      </c>
      <c r="O35" s="545"/>
    </row>
    <row r="36" spans="1:16" ht="40.5" customHeight="1" x14ac:dyDescent="0.2">
      <c r="A36" s="540">
        <v>3</v>
      </c>
      <c r="B36" s="541" t="s">
        <v>97</v>
      </c>
      <c r="C36" s="536">
        <f>D36</f>
        <v>6900000</v>
      </c>
      <c r="D36" s="536">
        <f>D37</f>
        <v>6900000</v>
      </c>
      <c r="E36" s="536">
        <f>E37</f>
        <v>0</v>
      </c>
      <c r="F36" s="49"/>
      <c r="G36" s="542"/>
      <c r="H36" s="542"/>
      <c r="I36" s="542">
        <f>I37</f>
        <v>6855000</v>
      </c>
      <c r="J36" s="542">
        <f>J37</f>
        <v>45000</v>
      </c>
      <c r="K36" s="542">
        <f>K37</f>
        <v>6855000</v>
      </c>
      <c r="L36" s="542">
        <f>L37</f>
        <v>0</v>
      </c>
      <c r="M36" s="542">
        <v>100</v>
      </c>
      <c r="N36" s="440"/>
      <c r="O36" s="545"/>
    </row>
    <row r="37" spans="1:16" ht="66" customHeight="1" x14ac:dyDescent="0.2">
      <c r="A37" s="546"/>
      <c r="B37" s="551" t="s">
        <v>98</v>
      </c>
      <c r="C37" s="547"/>
      <c r="D37" s="547">
        <v>6900000</v>
      </c>
      <c r="E37" s="547">
        <v>0</v>
      </c>
      <c r="F37" s="49" t="s">
        <v>353</v>
      </c>
      <c r="G37" s="49" t="s">
        <v>308</v>
      </c>
      <c r="H37" s="49" t="s">
        <v>639</v>
      </c>
      <c r="I37" s="548">
        <v>6855000</v>
      </c>
      <c r="J37" s="548">
        <f>D37-I37</f>
        <v>45000</v>
      </c>
      <c r="K37" s="548">
        <f>2056500+2056500+2742000</f>
        <v>6855000</v>
      </c>
      <c r="L37" s="548">
        <f>D37-K37-J37</f>
        <v>0</v>
      </c>
      <c r="M37" s="548">
        <f>K37*100/I37</f>
        <v>100</v>
      </c>
      <c r="N37" s="50" t="s">
        <v>121</v>
      </c>
      <c r="O37" s="545"/>
    </row>
    <row r="38" spans="1:16" ht="60" customHeight="1" x14ac:dyDescent="0.2">
      <c r="A38" s="546"/>
      <c r="B38" s="541" t="s">
        <v>99</v>
      </c>
      <c r="C38" s="536">
        <f>C39+C41</f>
        <v>10094700</v>
      </c>
      <c r="D38" s="536">
        <f>D39+D41</f>
        <v>2094700</v>
      </c>
      <c r="E38" s="536">
        <f>E39+E41</f>
        <v>8000000</v>
      </c>
      <c r="F38" s="536"/>
      <c r="G38" s="542"/>
      <c r="H38" s="542"/>
      <c r="I38" s="542">
        <f>I39+I41</f>
        <v>1515151</v>
      </c>
      <c r="J38" s="542">
        <f>J39+J41</f>
        <v>635449</v>
      </c>
      <c r="K38" s="536">
        <f>K39+K41</f>
        <v>6584251</v>
      </c>
      <c r="L38" s="536">
        <f>L39+L41</f>
        <v>2930900</v>
      </c>
      <c r="M38" s="553">
        <f>K38*100/C38</f>
        <v>65.224830851833147</v>
      </c>
      <c r="N38" s="550"/>
      <c r="O38" s="545"/>
      <c r="P38" s="539"/>
    </row>
    <row r="39" spans="1:16" ht="60.75" customHeight="1" x14ac:dyDescent="0.2">
      <c r="A39" s="540">
        <v>4</v>
      </c>
      <c r="B39" s="554" t="s">
        <v>100</v>
      </c>
      <c r="C39" s="536">
        <f>D39</f>
        <v>2094700</v>
      </c>
      <c r="D39" s="536">
        <f>D40</f>
        <v>2094700</v>
      </c>
      <c r="E39" s="536">
        <f>E40</f>
        <v>0</v>
      </c>
      <c r="F39" s="49"/>
      <c r="G39" s="542"/>
      <c r="H39" s="542"/>
      <c r="I39" s="542">
        <f>I40</f>
        <v>1515151</v>
      </c>
      <c r="J39" s="542">
        <f>J40</f>
        <v>579549</v>
      </c>
      <c r="K39" s="542">
        <f>K40</f>
        <v>1515151</v>
      </c>
      <c r="L39" s="542">
        <v>0</v>
      </c>
      <c r="M39" s="542">
        <f>K39*100/I39</f>
        <v>100</v>
      </c>
      <c r="N39" s="440"/>
      <c r="O39" s="545"/>
    </row>
    <row r="40" spans="1:16" ht="56.25" x14ac:dyDescent="0.2">
      <c r="A40" s="546"/>
      <c r="B40" s="551" t="s">
        <v>248</v>
      </c>
      <c r="C40" s="547"/>
      <c r="D40" s="547">
        <v>2094700</v>
      </c>
      <c r="E40" s="547">
        <v>0</v>
      </c>
      <c r="F40" s="49" t="s">
        <v>353</v>
      </c>
      <c r="G40" s="49" t="s">
        <v>310</v>
      </c>
      <c r="H40" s="49" t="s">
        <v>638</v>
      </c>
      <c r="I40" s="548">
        <v>1515151</v>
      </c>
      <c r="J40" s="548">
        <f>D40-I40</f>
        <v>579549</v>
      </c>
      <c r="K40" s="548">
        <v>1515151</v>
      </c>
      <c r="L40" s="548">
        <f>D40-K40-J40</f>
        <v>0</v>
      </c>
      <c r="M40" s="548">
        <f>K40*100/I40</f>
        <v>100</v>
      </c>
      <c r="N40" s="50" t="s">
        <v>122</v>
      </c>
      <c r="O40" s="545"/>
      <c r="P40" s="539"/>
    </row>
    <row r="41" spans="1:16" ht="37.5" x14ac:dyDescent="0.2">
      <c r="A41" s="540">
        <v>5</v>
      </c>
      <c r="B41" s="541" t="s">
        <v>101</v>
      </c>
      <c r="C41" s="536">
        <f>E41</f>
        <v>8000000</v>
      </c>
      <c r="D41" s="536">
        <v>0</v>
      </c>
      <c r="E41" s="536">
        <f>E42</f>
        <v>8000000</v>
      </c>
      <c r="F41" s="49" t="s">
        <v>739</v>
      </c>
      <c r="G41" s="542"/>
      <c r="H41" s="542"/>
      <c r="I41" s="542"/>
      <c r="J41" s="542">
        <f>J42</f>
        <v>55900</v>
      </c>
      <c r="K41" s="536">
        <f>K42</f>
        <v>5069100</v>
      </c>
      <c r="L41" s="542">
        <f>E41-K41</f>
        <v>2930900</v>
      </c>
      <c r="M41" s="553">
        <f>K41*100/E41</f>
        <v>63.363750000000003</v>
      </c>
      <c r="N41" s="440"/>
      <c r="O41" s="545"/>
    </row>
    <row r="42" spans="1:16" ht="34.5" customHeight="1" x14ac:dyDescent="0.2">
      <c r="A42" s="546"/>
      <c r="B42" s="546" t="s">
        <v>102</v>
      </c>
      <c r="C42" s="547"/>
      <c r="D42" s="547">
        <v>0</v>
      </c>
      <c r="E42" s="547">
        <f>E43+E44+E45+E46</f>
        <v>8000000</v>
      </c>
      <c r="F42" s="547"/>
      <c r="G42" s="548"/>
      <c r="H42" s="548"/>
      <c r="I42" s="548"/>
      <c r="J42" s="548">
        <f>J43+J44+J45+J46</f>
        <v>55900</v>
      </c>
      <c r="K42" s="548">
        <f>K43+K44+K45+K46</f>
        <v>5069100</v>
      </c>
      <c r="L42" s="548">
        <f>E42-K42</f>
        <v>2930900</v>
      </c>
      <c r="M42" s="549">
        <f>K42*100/E42</f>
        <v>63.363750000000003</v>
      </c>
      <c r="N42" s="50" t="s">
        <v>122</v>
      </c>
      <c r="O42" s="545"/>
    </row>
    <row r="43" spans="1:16" s="717" customFormat="1" ht="21" x14ac:dyDescent="0.2">
      <c r="A43" s="711"/>
      <c r="B43" s="720" t="s">
        <v>103</v>
      </c>
      <c r="C43" s="712"/>
      <c r="D43" s="712"/>
      <c r="E43" s="712">
        <v>2000000</v>
      </c>
      <c r="F43" s="712"/>
      <c r="G43" s="714"/>
      <c r="H43" s="714"/>
      <c r="I43" s="714"/>
      <c r="J43" s="714"/>
      <c r="K43" s="714">
        <f>312000+80000+15000+9600+97000+40000+12000+12000+80000+26000+5000+100000+475000+90000+96400+100000+330000</f>
        <v>1880000</v>
      </c>
      <c r="L43" s="714">
        <f>E43-K43</f>
        <v>120000</v>
      </c>
      <c r="M43" s="719">
        <f>K43*100/E43</f>
        <v>94</v>
      </c>
      <c r="N43" s="721"/>
      <c r="O43" s="716"/>
    </row>
    <row r="44" spans="1:16" ht="21" x14ac:dyDescent="0.2">
      <c r="A44" s="546"/>
      <c r="B44" s="555" t="s">
        <v>104</v>
      </c>
      <c r="C44" s="547"/>
      <c r="D44" s="547"/>
      <c r="E44" s="547">
        <v>2000000</v>
      </c>
      <c r="F44" s="547"/>
      <c r="G44" s="548"/>
      <c r="H44" s="548"/>
      <c r="I44" s="548"/>
      <c r="J44" s="548"/>
      <c r="K44" s="548">
        <f>500000+1485000+15000</f>
        <v>2000000</v>
      </c>
      <c r="L44" s="548">
        <f t="shared" ref="L44:L46" si="4">E44-K44</f>
        <v>0</v>
      </c>
      <c r="M44" s="548">
        <f t="shared" ref="M44:M46" si="5">K44*100/E44</f>
        <v>100</v>
      </c>
      <c r="N44" s="550"/>
      <c r="O44" s="545"/>
    </row>
    <row r="45" spans="1:16" s="717" customFormat="1" ht="21" x14ac:dyDescent="0.2">
      <c r="A45" s="711"/>
      <c r="B45" s="720" t="s">
        <v>105</v>
      </c>
      <c r="C45" s="712"/>
      <c r="D45" s="712"/>
      <c r="E45" s="712">
        <v>2000000</v>
      </c>
      <c r="F45" s="712"/>
      <c r="G45" s="714"/>
      <c r="H45" s="722"/>
      <c r="I45" s="714"/>
      <c r="J45" s="714">
        <v>55900</v>
      </c>
      <c r="K45" s="714">
        <f>45800+50000+56000+15000+20000+75000+3200+47600+57500+74900+50000+20000+47600+72500+20000+4000+50000</f>
        <v>709100</v>
      </c>
      <c r="L45" s="714">
        <f>E45-K45-J45</f>
        <v>1235000</v>
      </c>
      <c r="M45" s="719">
        <f t="shared" si="5"/>
        <v>35.454999999999998</v>
      </c>
      <c r="N45" s="721"/>
      <c r="O45" s="716"/>
    </row>
    <row r="46" spans="1:16" s="717" customFormat="1" ht="24" customHeight="1" x14ac:dyDescent="0.2">
      <c r="A46" s="711"/>
      <c r="B46" s="720" t="s">
        <v>106</v>
      </c>
      <c r="C46" s="712"/>
      <c r="D46" s="712"/>
      <c r="E46" s="712">
        <v>2000000</v>
      </c>
      <c r="F46" s="712"/>
      <c r="G46" s="714"/>
      <c r="H46" s="714"/>
      <c r="I46" s="714"/>
      <c r="J46" s="714"/>
      <c r="K46" s="714">
        <v>480000</v>
      </c>
      <c r="L46" s="714">
        <f t="shared" si="4"/>
        <v>1520000</v>
      </c>
      <c r="M46" s="714">
        <f t="shared" si="5"/>
        <v>24</v>
      </c>
      <c r="N46" s="721"/>
      <c r="O46" s="716"/>
    </row>
    <row r="47" spans="1:16" ht="21" x14ac:dyDescent="0.2">
      <c r="A47" s="546"/>
      <c r="B47" s="540" t="s">
        <v>107</v>
      </c>
      <c r="C47" s="536">
        <f>C48+C50</f>
        <v>45400000</v>
      </c>
      <c r="D47" s="536">
        <f t="shared" ref="D47:E47" si="6">D48+D50</f>
        <v>45000000</v>
      </c>
      <c r="E47" s="536">
        <f t="shared" si="6"/>
        <v>400000</v>
      </c>
      <c r="F47" s="536"/>
      <c r="G47" s="542"/>
      <c r="H47" s="542"/>
      <c r="I47" s="542">
        <f>I48</f>
        <v>44990000</v>
      </c>
      <c r="J47" s="542">
        <f>J48+J50</f>
        <v>2462840.34</v>
      </c>
      <c r="K47" s="536">
        <f>K48+K50</f>
        <v>42937159.659999996</v>
      </c>
      <c r="L47" s="536">
        <f>L48+L50</f>
        <v>2.5607960196794011E-11</v>
      </c>
      <c r="M47" s="553">
        <v>100</v>
      </c>
      <c r="N47" s="550"/>
      <c r="O47" s="545"/>
    </row>
    <row r="48" spans="1:16" ht="37.5" x14ac:dyDescent="0.2">
      <c r="A48" s="540">
        <v>6</v>
      </c>
      <c r="B48" s="541" t="s">
        <v>108</v>
      </c>
      <c r="C48" s="536">
        <f>D48</f>
        <v>45000000</v>
      </c>
      <c r="D48" s="536">
        <f>D49</f>
        <v>45000000</v>
      </c>
      <c r="E48" s="536">
        <f>E49</f>
        <v>0</v>
      </c>
      <c r="F48" s="49"/>
      <c r="G48" s="542"/>
      <c r="H48" s="542"/>
      <c r="I48" s="542">
        <f>I49</f>
        <v>44990000</v>
      </c>
      <c r="J48" s="542">
        <f>J49</f>
        <v>2462772</v>
      </c>
      <c r="K48" s="542">
        <f>K49</f>
        <v>42537228</v>
      </c>
      <c r="L48" s="542">
        <f>L49</f>
        <v>0</v>
      </c>
      <c r="M48" s="556">
        <v>100</v>
      </c>
      <c r="N48" s="440"/>
      <c r="O48" s="545"/>
      <c r="P48" s="539"/>
    </row>
    <row r="49" spans="1:15" ht="46.5" customHeight="1" x14ac:dyDescent="0.2">
      <c r="A49" s="546"/>
      <c r="B49" s="557" t="s">
        <v>109</v>
      </c>
      <c r="C49" s="547"/>
      <c r="D49" s="547">
        <v>45000000</v>
      </c>
      <c r="E49" s="547">
        <v>0</v>
      </c>
      <c r="F49" s="49" t="s">
        <v>353</v>
      </c>
      <c r="G49" s="54" t="s">
        <v>296</v>
      </c>
      <c r="H49" s="49" t="s">
        <v>642</v>
      </c>
      <c r="I49" s="558">
        <v>44990000</v>
      </c>
      <c r="J49" s="558">
        <f>2462772</f>
        <v>2462772</v>
      </c>
      <c r="K49" s="548">
        <f>10797600+5898800+25840000+828</f>
        <v>42537228</v>
      </c>
      <c r="L49" s="548">
        <f>D49-K49-J49</f>
        <v>0</v>
      </c>
      <c r="M49" s="548">
        <v>100</v>
      </c>
      <c r="N49" s="50" t="s">
        <v>29</v>
      </c>
      <c r="O49" s="545"/>
    </row>
    <row r="50" spans="1:15" ht="21" x14ac:dyDescent="0.2">
      <c r="A50" s="540">
        <v>7</v>
      </c>
      <c r="B50" s="540" t="s">
        <v>110</v>
      </c>
      <c r="C50" s="536">
        <f>E50</f>
        <v>400000</v>
      </c>
      <c r="D50" s="536">
        <v>0</v>
      </c>
      <c r="E50" s="536">
        <f>E51</f>
        <v>400000</v>
      </c>
      <c r="F50" s="49"/>
      <c r="G50" s="542"/>
      <c r="H50" s="542"/>
      <c r="I50" s="542"/>
      <c r="J50" s="542">
        <f>J51</f>
        <v>68.34</v>
      </c>
      <c r="K50" s="542">
        <f>K51</f>
        <v>399931.66</v>
      </c>
      <c r="L50" s="542">
        <f>E50-K50-J50</f>
        <v>2.5607960196794011E-11</v>
      </c>
      <c r="M50" s="542">
        <v>100</v>
      </c>
      <c r="N50" s="440"/>
      <c r="O50" s="545"/>
    </row>
    <row r="51" spans="1:15" ht="34.5" customHeight="1" x14ac:dyDescent="0.2">
      <c r="A51" s="546"/>
      <c r="B51" s="546" t="s">
        <v>111</v>
      </c>
      <c r="C51" s="547"/>
      <c r="D51" s="547">
        <v>0</v>
      </c>
      <c r="E51" s="547">
        <v>400000</v>
      </c>
      <c r="F51" s="49" t="s">
        <v>353</v>
      </c>
      <c r="G51" s="548"/>
      <c r="H51" s="548"/>
      <c r="I51" s="548"/>
      <c r="J51" s="548">
        <v>68.34</v>
      </c>
      <c r="K51" s="548">
        <f>92000+7000+84000+24000+70000+25000-1100+1000+8000+25000+1000+1688.4+2785.04-1100+2431+2597.22+5630+50000</f>
        <v>399931.66</v>
      </c>
      <c r="L51" s="548">
        <f>E51-K51-J51</f>
        <v>2.5607960196794011E-11</v>
      </c>
      <c r="M51" s="548">
        <v>100</v>
      </c>
      <c r="N51" s="559" t="s">
        <v>142</v>
      </c>
      <c r="O51" s="545"/>
    </row>
    <row r="52" spans="1:15" ht="21" x14ac:dyDescent="0.2">
      <c r="A52" s="540"/>
      <c r="B52" s="440" t="s">
        <v>112</v>
      </c>
      <c r="C52" s="536">
        <f>C8+C38+C47</f>
        <v>93962000</v>
      </c>
      <c r="D52" s="536">
        <f>D8+D38+D47</f>
        <v>74923700</v>
      </c>
      <c r="E52" s="536">
        <f>E8+E38+E47</f>
        <v>19038300</v>
      </c>
      <c r="F52" s="536"/>
      <c r="G52" s="542"/>
      <c r="H52" s="542"/>
      <c r="I52" s="536">
        <f>I8+I38+I47</f>
        <v>74166151</v>
      </c>
      <c r="J52" s="536">
        <f>J8+J38+J47</f>
        <v>5457885.0800000001</v>
      </c>
      <c r="K52" s="542">
        <f>K8+K38+K47</f>
        <v>83048946.919999987</v>
      </c>
      <c r="L52" s="542">
        <f>L8+L38+L47</f>
        <v>5401868</v>
      </c>
      <c r="M52" s="553">
        <f>K52*100/C52</f>
        <v>88.385673910729864</v>
      </c>
      <c r="N52" s="540"/>
      <c r="O52" s="545"/>
    </row>
    <row r="53" spans="1:15" ht="21" x14ac:dyDescent="0.2">
      <c r="A53" s="545"/>
      <c r="B53" s="545"/>
      <c r="C53" s="545"/>
      <c r="D53" s="545"/>
      <c r="E53" s="545"/>
      <c r="F53" s="545"/>
      <c r="G53" s="545"/>
      <c r="H53" s="545"/>
      <c r="I53" s="545"/>
      <c r="J53" s="545"/>
      <c r="K53" s="545"/>
      <c r="L53" s="545"/>
      <c r="M53" s="545"/>
      <c r="N53" s="545"/>
      <c r="O53" s="545"/>
    </row>
    <row r="54" spans="1:15" ht="21" x14ac:dyDescent="0.2">
      <c r="A54" s="545"/>
      <c r="B54" s="545"/>
      <c r="C54" s="545"/>
      <c r="D54" s="545"/>
      <c r="E54" s="545"/>
      <c r="F54" s="545"/>
      <c r="G54" s="545"/>
      <c r="H54" s="545"/>
      <c r="I54" s="545"/>
      <c r="J54" s="545"/>
      <c r="K54" s="545"/>
      <c r="L54" s="545"/>
      <c r="M54" s="545"/>
      <c r="N54" s="545"/>
      <c r="O54" s="545"/>
    </row>
    <row r="55" spans="1:15" ht="21" x14ac:dyDescent="0.2">
      <c r="A55" s="545"/>
      <c r="B55" s="545"/>
      <c r="C55" s="545"/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45"/>
      <c r="O55" s="545"/>
    </row>
    <row r="56" spans="1:15" ht="21" x14ac:dyDescent="0.2">
      <c r="A56" s="545"/>
      <c r="B56" s="545"/>
      <c r="C56" s="545"/>
      <c r="D56" s="545"/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</row>
    <row r="57" spans="1:15" ht="21" x14ac:dyDescent="0.2">
      <c r="A57" s="545"/>
      <c r="B57" s="545"/>
      <c r="C57" s="545"/>
      <c r="D57" s="545"/>
      <c r="E57" s="545"/>
      <c r="F57" s="545"/>
      <c r="G57" s="545"/>
      <c r="H57" s="545"/>
      <c r="I57" s="545"/>
      <c r="J57" s="545"/>
      <c r="K57" s="545"/>
      <c r="L57" s="545"/>
      <c r="M57" s="545"/>
      <c r="N57" s="545"/>
      <c r="O57" s="545"/>
    </row>
    <row r="58" spans="1:15" ht="21" x14ac:dyDescent="0.2">
      <c r="A58" s="545"/>
      <c r="B58" s="545"/>
      <c r="C58" s="545"/>
      <c r="D58" s="545"/>
      <c r="E58" s="545"/>
      <c r="F58" s="545"/>
      <c r="G58" s="545"/>
      <c r="H58" s="545"/>
      <c r="I58" s="545"/>
      <c r="J58" s="560">
        <v>93556700</v>
      </c>
      <c r="K58" s="545"/>
      <c r="L58" s="545"/>
      <c r="M58" s="545"/>
      <c r="N58" s="545"/>
      <c r="O58" s="545"/>
    </row>
    <row r="59" spans="1:15" ht="21" x14ac:dyDescent="0.2">
      <c r="A59" s="545"/>
      <c r="B59" s="545"/>
      <c r="C59" s="545"/>
      <c r="D59" s="545"/>
      <c r="E59" s="545"/>
      <c r="F59" s="545"/>
      <c r="G59" s="545"/>
      <c r="H59" s="545"/>
      <c r="I59" s="545"/>
      <c r="J59" s="560">
        <v>211838.71</v>
      </c>
      <c r="K59" s="545"/>
      <c r="L59" s="545"/>
      <c r="M59" s="545"/>
      <c r="N59" s="545"/>
      <c r="O59" s="545"/>
    </row>
    <row r="60" spans="1:15" ht="21" x14ac:dyDescent="0.2">
      <c r="A60" s="545"/>
      <c r="B60" s="545"/>
      <c r="C60" s="545"/>
      <c r="D60" s="545"/>
      <c r="E60" s="545"/>
      <c r="F60" s="545"/>
      <c r="G60" s="545"/>
      <c r="H60" s="545"/>
      <c r="I60" s="545"/>
      <c r="J60" s="560">
        <f>J58+J59</f>
        <v>93768538.709999993</v>
      </c>
      <c r="K60" s="545"/>
      <c r="L60" s="545"/>
      <c r="M60" s="545"/>
      <c r="N60" s="545"/>
      <c r="O60" s="545"/>
    </row>
    <row r="61" spans="1:15" ht="21" x14ac:dyDescent="0.2">
      <c r="A61" s="545"/>
      <c r="B61" s="545"/>
      <c r="C61" s="545"/>
      <c r="D61" s="545"/>
      <c r="E61" s="545"/>
      <c r="F61" s="545"/>
      <c r="G61" s="545"/>
      <c r="H61" s="545"/>
      <c r="I61" s="545"/>
      <c r="J61" s="545"/>
      <c r="K61" s="545"/>
      <c r="L61" s="545"/>
      <c r="M61" s="545"/>
      <c r="N61" s="545"/>
      <c r="O61" s="545"/>
    </row>
    <row r="62" spans="1:15" ht="21" x14ac:dyDescent="0.2">
      <c r="A62" s="545"/>
      <c r="B62" s="545"/>
      <c r="C62" s="545"/>
      <c r="D62" s="545"/>
      <c r="E62" s="545"/>
      <c r="F62" s="545"/>
      <c r="G62" s="545"/>
      <c r="H62" s="545"/>
      <c r="I62" s="545"/>
      <c r="J62" s="545"/>
      <c r="K62" s="545"/>
      <c r="L62" s="545"/>
      <c r="M62" s="545"/>
      <c r="N62" s="545"/>
      <c r="O62" s="545"/>
    </row>
    <row r="63" spans="1:15" ht="21" x14ac:dyDescent="0.2">
      <c r="A63" s="545"/>
      <c r="B63" s="545"/>
      <c r="C63" s="545"/>
      <c r="D63" s="545"/>
      <c r="E63" s="545"/>
      <c r="F63" s="545"/>
      <c r="G63" s="545"/>
      <c r="H63" s="545"/>
      <c r="I63" s="545"/>
      <c r="J63" s="545"/>
      <c r="K63" s="545"/>
      <c r="L63" s="545"/>
      <c r="M63" s="545"/>
      <c r="N63" s="545"/>
      <c r="O63" s="545"/>
    </row>
    <row r="64" spans="1:15" ht="21" x14ac:dyDescent="0.2">
      <c r="A64" s="545"/>
      <c r="B64" s="545"/>
      <c r="C64" s="545"/>
      <c r="D64" s="545"/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</row>
    <row r="65" spans="1:15" ht="21" x14ac:dyDescent="0.2">
      <c r="A65" s="545"/>
      <c r="B65" s="545"/>
      <c r="C65" s="545"/>
      <c r="D65" s="545"/>
      <c r="E65" s="545"/>
      <c r="F65" s="545"/>
      <c r="G65" s="545"/>
      <c r="H65" s="545"/>
      <c r="I65" s="545"/>
      <c r="J65" s="545"/>
      <c r="K65" s="545"/>
      <c r="L65" s="545"/>
      <c r="M65" s="545"/>
      <c r="N65" s="545"/>
      <c r="O65" s="545"/>
    </row>
    <row r="66" spans="1:15" ht="21" x14ac:dyDescent="0.2">
      <c r="A66" s="545"/>
      <c r="B66" s="545"/>
      <c r="C66" s="545"/>
      <c r="D66" s="545"/>
      <c r="E66" s="545"/>
      <c r="F66" s="545"/>
      <c r="G66" s="545"/>
      <c r="H66" s="545"/>
      <c r="I66" s="545"/>
      <c r="J66" s="545"/>
      <c r="K66" s="545"/>
      <c r="L66" s="545"/>
      <c r="M66" s="545"/>
      <c r="N66" s="545"/>
      <c r="O66" s="545"/>
    </row>
    <row r="67" spans="1:15" ht="21" x14ac:dyDescent="0.2">
      <c r="A67" s="545"/>
      <c r="B67" s="545"/>
      <c r="C67" s="545"/>
      <c r="D67" s="545"/>
      <c r="E67" s="545"/>
      <c r="F67" s="545"/>
      <c r="G67" s="545"/>
      <c r="H67" s="545"/>
      <c r="I67" s="545"/>
      <c r="J67" s="545"/>
      <c r="K67" s="545"/>
      <c r="L67" s="545"/>
      <c r="M67" s="545"/>
      <c r="N67" s="545"/>
      <c r="O67" s="545"/>
    </row>
    <row r="68" spans="1:15" ht="21" x14ac:dyDescent="0.2">
      <c r="A68" s="545"/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</row>
  </sheetData>
  <mergeCells count="10">
    <mergeCell ref="A1:N1"/>
    <mergeCell ref="A2:N2"/>
    <mergeCell ref="A3:N3"/>
    <mergeCell ref="A5:A6"/>
    <mergeCell ref="B5:B6"/>
    <mergeCell ref="K5:M5"/>
    <mergeCell ref="N5:N6"/>
    <mergeCell ref="C5:E5"/>
    <mergeCell ref="F5:J5"/>
    <mergeCell ref="J4:N4"/>
  </mergeCells>
  <pageMargins left="0.19685039370078741" right="0" top="0.15748031496062992" bottom="0.19685039370078741" header="0" footer="0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83"/>
  <sheetViews>
    <sheetView view="pageBreakPreview" zoomScaleNormal="100" zoomScaleSheetLayoutView="100" workbookViewId="0">
      <selection activeCell="F65" sqref="F65"/>
    </sheetView>
  </sheetViews>
  <sheetFormatPr defaultRowHeight="14.25" x14ac:dyDescent="0.2"/>
  <cols>
    <col min="1" max="1" width="4.125" customWidth="1"/>
    <col min="2" max="2" width="35" customWidth="1"/>
    <col min="5" max="5" width="11.625" customWidth="1"/>
    <col min="6" max="6" width="11.25" customWidth="1"/>
    <col min="7" max="7" width="6.625" customWidth="1"/>
    <col min="8" max="8" width="11.25" customWidth="1"/>
    <col min="9" max="9" width="32.625" customWidth="1"/>
    <col min="10" max="11" width="10.375" bestFit="1" customWidth="1"/>
  </cols>
  <sheetData>
    <row r="1" spans="1:9" s="1" customFormat="1" ht="24.75" customHeight="1" x14ac:dyDescent="0.35">
      <c r="A1" s="796" t="s">
        <v>295</v>
      </c>
      <c r="B1" s="796"/>
      <c r="C1" s="796"/>
      <c r="D1" s="796"/>
      <c r="E1" s="796"/>
      <c r="F1" s="796"/>
      <c r="G1" s="796"/>
      <c r="H1" s="796"/>
      <c r="I1" s="796"/>
    </row>
    <row r="2" spans="1:9" s="1" customFormat="1" ht="24.75" customHeight="1" x14ac:dyDescent="0.35">
      <c r="A2" s="796" t="s">
        <v>911</v>
      </c>
      <c r="B2" s="796"/>
      <c r="C2" s="796"/>
      <c r="D2" s="796"/>
      <c r="E2" s="796"/>
      <c r="F2" s="796"/>
      <c r="G2" s="796"/>
      <c r="H2" s="796"/>
      <c r="I2" s="796"/>
    </row>
    <row r="3" spans="1:9" s="1" customFormat="1" ht="15" x14ac:dyDescent="0.25">
      <c r="I3" s="652" t="s">
        <v>1050</v>
      </c>
    </row>
    <row r="4" spans="1:9" s="1" customFormat="1" ht="22.5" customHeight="1" x14ac:dyDescent="0.2">
      <c r="A4" s="799" t="s">
        <v>76</v>
      </c>
      <c r="B4" s="801" t="s">
        <v>77</v>
      </c>
      <c r="C4" s="801" t="s">
        <v>189</v>
      </c>
      <c r="D4" s="801"/>
      <c r="E4" s="801" t="s">
        <v>72</v>
      </c>
      <c r="F4" s="801"/>
      <c r="G4" s="801"/>
      <c r="H4" s="797" t="s">
        <v>0</v>
      </c>
      <c r="I4" s="795" t="s">
        <v>386</v>
      </c>
    </row>
    <row r="5" spans="1:9" s="1" customFormat="1" ht="35.25" customHeight="1" x14ac:dyDescent="0.2">
      <c r="A5" s="800"/>
      <c r="B5" s="801"/>
      <c r="C5" s="34" t="s">
        <v>1005</v>
      </c>
      <c r="D5" s="34" t="s">
        <v>1006</v>
      </c>
      <c r="E5" s="34" t="s">
        <v>187</v>
      </c>
      <c r="F5" s="34" t="s">
        <v>73</v>
      </c>
      <c r="G5" s="34" t="s">
        <v>74</v>
      </c>
      <c r="H5" s="798"/>
      <c r="I5" s="795"/>
    </row>
    <row r="6" spans="1:9" s="1" customFormat="1" ht="23.25" customHeight="1" x14ac:dyDescent="0.3">
      <c r="A6" s="35"/>
      <c r="B6" s="19" t="s">
        <v>112</v>
      </c>
      <c r="C6" s="17">
        <f>C7+C14+C20+C22+C54+C65</f>
        <v>8000000</v>
      </c>
      <c r="D6" s="17">
        <f>D7+D14+D20+D22+D54+D65+D75+D76+D77</f>
        <v>7999999.9000000004</v>
      </c>
      <c r="E6" s="20">
        <f>E7+E14+E20+E22+E54+E65+E75+E76+E77</f>
        <v>6275906.04</v>
      </c>
      <c r="F6" s="20">
        <f>F7+F14+F20+F22+F54+F65+F75+F76+F77</f>
        <v>1574353.8599999999</v>
      </c>
      <c r="G6" s="20">
        <f>E6*100/D6</f>
        <v>78.448826480610322</v>
      </c>
      <c r="H6" s="18"/>
      <c r="I6" s="650"/>
    </row>
    <row r="7" spans="1:9" s="1" customFormat="1" ht="75" customHeight="1" x14ac:dyDescent="0.2">
      <c r="A7" s="791" t="s">
        <v>143</v>
      </c>
      <c r="B7" s="792"/>
      <c r="C7" s="113">
        <f>C8</f>
        <v>400000</v>
      </c>
      <c r="D7" s="113">
        <f>D8</f>
        <v>289131</v>
      </c>
      <c r="E7" s="595">
        <f>E8</f>
        <v>254887</v>
      </c>
      <c r="F7" s="595">
        <f>F8</f>
        <v>34244</v>
      </c>
      <c r="G7" s="595">
        <f>E7*100/D7</f>
        <v>88.156233679543178</v>
      </c>
      <c r="H7" s="112" t="s">
        <v>1013</v>
      </c>
      <c r="I7" s="653" t="s">
        <v>1035</v>
      </c>
    </row>
    <row r="8" spans="1:9" s="1" customFormat="1" ht="39.75" hidden="1" customHeight="1" x14ac:dyDescent="0.3">
      <c r="A8" s="793" t="s">
        <v>144</v>
      </c>
      <c r="B8" s="794"/>
      <c r="C8" s="113">
        <f>C9+C10+C11+C12+C13</f>
        <v>400000</v>
      </c>
      <c r="D8" s="113">
        <f>D9+D10+D11+D12+D13</f>
        <v>289131</v>
      </c>
      <c r="E8" s="595">
        <f>E9+E10+E11+E12+E13</f>
        <v>254887</v>
      </c>
      <c r="F8" s="595">
        <f>D8-E8</f>
        <v>34244</v>
      </c>
      <c r="G8" s="595">
        <f>E8*100/D8</f>
        <v>88.156233679543178</v>
      </c>
      <c r="H8" s="112" t="s">
        <v>192</v>
      </c>
      <c r="I8" s="649"/>
    </row>
    <row r="9" spans="1:9" s="1" customFormat="1" ht="35.25" hidden="1" customHeight="1" x14ac:dyDescent="0.3">
      <c r="A9" s="605"/>
      <c r="B9" s="12" t="s">
        <v>145</v>
      </c>
      <c r="C9" s="114">
        <v>100000</v>
      </c>
      <c r="D9" s="114">
        <f>100000-13069-50000</f>
        <v>36931</v>
      </c>
      <c r="E9" s="599">
        <f>4725+6750+490+980+665+1505+665+29915+1925+630+245+700+630+4650+525</f>
        <v>55000</v>
      </c>
      <c r="F9" s="599">
        <f>D9-E9</f>
        <v>-18069</v>
      </c>
      <c r="G9" s="599">
        <f>E9*100/D9</f>
        <v>148.92637621510383</v>
      </c>
      <c r="H9" s="112" t="s">
        <v>192</v>
      </c>
      <c r="I9" s="649"/>
    </row>
    <row r="10" spans="1:9" s="1" customFormat="1" ht="39.75" hidden="1" customHeight="1" x14ac:dyDescent="0.3">
      <c r="A10" s="605"/>
      <c r="B10" s="12" t="s">
        <v>146</v>
      </c>
      <c r="C10" s="114">
        <v>100000</v>
      </c>
      <c r="D10" s="114">
        <v>100000</v>
      </c>
      <c r="E10" s="599">
        <f>1820+1820+1435+1230+13475+525+5700+2250+2250+9150+315+1225+10650+1505+1505+1260+665+2485+13175+4250+560+315+455+805+1190+1470+1190+1120+630+525+700+1330+315+455+945+1050+700+560+665+455+700+700+4472+595+245+350+700</f>
        <v>99887</v>
      </c>
      <c r="F10" s="599">
        <f>D10-E10</f>
        <v>113</v>
      </c>
      <c r="G10" s="599">
        <f>E10*100/D10</f>
        <v>99.887</v>
      </c>
      <c r="H10" s="112" t="s">
        <v>192</v>
      </c>
      <c r="I10" s="649"/>
    </row>
    <row r="11" spans="1:9" s="1" customFormat="1" ht="21" hidden="1" customHeight="1" x14ac:dyDescent="0.3">
      <c r="A11" s="605"/>
      <c r="B11" s="12" t="s">
        <v>147</v>
      </c>
      <c r="C11" s="114">
        <v>100000</v>
      </c>
      <c r="D11" s="114">
        <f>52200</f>
        <v>52200</v>
      </c>
      <c r="E11" s="599">
        <v>0</v>
      </c>
      <c r="F11" s="599">
        <f t="shared" ref="F11:F13" si="0">D11-E11</f>
        <v>52200</v>
      </c>
      <c r="G11" s="599">
        <f t="shared" ref="G11:G19" si="1">E11*100/C11</f>
        <v>0</v>
      </c>
      <c r="H11" s="112" t="s">
        <v>192</v>
      </c>
      <c r="I11" s="649"/>
    </row>
    <row r="12" spans="1:9" s="1" customFormat="1" ht="56.25" hidden="1" customHeight="1" x14ac:dyDescent="0.3">
      <c r="A12" s="605"/>
      <c r="B12" s="12" t="s">
        <v>148</v>
      </c>
      <c r="C12" s="114">
        <v>50000</v>
      </c>
      <c r="D12" s="114">
        <v>50000</v>
      </c>
      <c r="E12" s="599">
        <f>50000</f>
        <v>50000</v>
      </c>
      <c r="F12" s="599">
        <f t="shared" si="0"/>
        <v>0</v>
      </c>
      <c r="G12" s="599">
        <f t="shared" si="1"/>
        <v>100</v>
      </c>
      <c r="H12" s="112" t="s">
        <v>192</v>
      </c>
      <c r="I12" s="649"/>
    </row>
    <row r="13" spans="1:9" s="1" customFormat="1" ht="21" hidden="1" customHeight="1" x14ac:dyDescent="0.3">
      <c r="A13" s="605"/>
      <c r="B13" s="12" t="s">
        <v>149</v>
      </c>
      <c r="C13" s="114">
        <v>50000</v>
      </c>
      <c r="D13" s="114">
        <v>50000</v>
      </c>
      <c r="E13" s="599">
        <v>50000</v>
      </c>
      <c r="F13" s="599">
        <f t="shared" si="0"/>
        <v>0</v>
      </c>
      <c r="G13" s="599">
        <f t="shared" si="1"/>
        <v>100</v>
      </c>
      <c r="H13" s="112" t="s">
        <v>192</v>
      </c>
      <c r="I13" s="649"/>
    </row>
    <row r="14" spans="1:9" s="1" customFormat="1" ht="21" customHeight="1" x14ac:dyDescent="0.3">
      <c r="A14" s="791" t="s">
        <v>986</v>
      </c>
      <c r="B14" s="792"/>
      <c r="C14" s="113">
        <f>C15</f>
        <v>612000</v>
      </c>
      <c r="D14" s="113">
        <f>D15</f>
        <v>612000</v>
      </c>
      <c r="E14" s="595">
        <f>E15</f>
        <v>579971</v>
      </c>
      <c r="F14" s="595">
        <f>F15</f>
        <v>32029</v>
      </c>
      <c r="G14" s="595">
        <f t="shared" si="1"/>
        <v>94.76650326797386</v>
      </c>
      <c r="H14" s="112" t="s">
        <v>1013</v>
      </c>
      <c r="I14" s="649" t="s">
        <v>1039</v>
      </c>
    </row>
    <row r="15" spans="1:9" s="1" customFormat="1" ht="94.5" hidden="1" customHeight="1" x14ac:dyDescent="0.3">
      <c r="A15" s="793" t="s">
        <v>150</v>
      </c>
      <c r="B15" s="794"/>
      <c r="C15" s="113">
        <f>C16+C17+C18+C19</f>
        <v>612000</v>
      </c>
      <c r="D15" s="113">
        <f>D16+D17+D18+D19</f>
        <v>612000</v>
      </c>
      <c r="E15" s="595">
        <f>E16+E17+E18+E19</f>
        <v>579971</v>
      </c>
      <c r="F15" s="595">
        <f>F16+F17+F18+F19</f>
        <v>32029</v>
      </c>
      <c r="G15" s="595">
        <f t="shared" si="1"/>
        <v>94.76650326797386</v>
      </c>
      <c r="H15" s="112" t="s">
        <v>1013</v>
      </c>
      <c r="I15" s="649"/>
    </row>
    <row r="16" spans="1:9" s="1" customFormat="1" ht="27" hidden="1" customHeight="1" x14ac:dyDescent="0.3">
      <c r="A16" s="605"/>
      <c r="B16" s="12" t="s">
        <v>151</v>
      </c>
      <c r="C16" s="114">
        <v>576000</v>
      </c>
      <c r="D16" s="114">
        <v>576000</v>
      </c>
      <c r="E16" s="599">
        <f>48400+66000+64400+64400+64400+64400+64400-22400-8000-14400-9600-3200+2065+2065+1050+64400+1050+64400+64400-8000-9600-16000+991+1400+1750-4800</f>
        <v>543971</v>
      </c>
      <c r="F16" s="599">
        <f>C16-E16</f>
        <v>32029</v>
      </c>
      <c r="G16" s="599">
        <f t="shared" si="1"/>
        <v>94.439409722222223</v>
      </c>
      <c r="H16" s="112" t="s">
        <v>192</v>
      </c>
      <c r="I16" s="649"/>
    </row>
    <row r="17" spans="1:9" s="1" customFormat="1" ht="27" hidden="1" customHeight="1" x14ac:dyDescent="0.3">
      <c r="A17" s="605"/>
      <c r="B17" s="12" t="s">
        <v>152</v>
      </c>
      <c r="C17" s="114">
        <v>18000</v>
      </c>
      <c r="D17" s="114">
        <v>18000</v>
      </c>
      <c r="E17" s="599">
        <f>1995+2100+1435+1435+1960+1400+1855+1400+2100+1200+900+220</f>
        <v>18000</v>
      </c>
      <c r="F17" s="599">
        <f>C17-E17</f>
        <v>0</v>
      </c>
      <c r="G17" s="599">
        <f t="shared" si="1"/>
        <v>100</v>
      </c>
      <c r="H17" s="112" t="s">
        <v>192</v>
      </c>
      <c r="I17" s="649"/>
    </row>
    <row r="18" spans="1:9" s="1" customFormat="1" ht="24" hidden="1" customHeight="1" x14ac:dyDescent="0.3">
      <c r="A18" s="605"/>
      <c r="B18" s="12" t="s">
        <v>153</v>
      </c>
      <c r="C18" s="114">
        <v>10000</v>
      </c>
      <c r="D18" s="114">
        <v>10000</v>
      </c>
      <c r="E18" s="599">
        <f>1425+3300+2800+1200+1200+75</f>
        <v>10000</v>
      </c>
      <c r="F18" s="599">
        <f>C18-E18</f>
        <v>0</v>
      </c>
      <c r="G18" s="599">
        <f t="shared" si="1"/>
        <v>100</v>
      </c>
      <c r="H18" s="112" t="s">
        <v>192</v>
      </c>
      <c r="I18" s="649"/>
    </row>
    <row r="19" spans="1:9" s="1" customFormat="1" ht="23.25" hidden="1" customHeight="1" x14ac:dyDescent="0.3">
      <c r="A19" s="605"/>
      <c r="B19" s="12" t="s">
        <v>154</v>
      </c>
      <c r="C19" s="114">
        <v>8000</v>
      </c>
      <c r="D19" s="114">
        <v>8000</v>
      </c>
      <c r="E19" s="599">
        <f>1431+2400+1400+1770+885+114</f>
        <v>8000</v>
      </c>
      <c r="F19" s="599">
        <f>C19-E19</f>
        <v>0</v>
      </c>
      <c r="G19" s="599">
        <f t="shared" si="1"/>
        <v>100</v>
      </c>
      <c r="H19" s="112" t="s">
        <v>192</v>
      </c>
      <c r="I19" s="649"/>
    </row>
    <row r="20" spans="1:9" s="1" customFormat="1" ht="38.25" customHeight="1" x14ac:dyDescent="0.2">
      <c r="A20" s="791" t="s">
        <v>155</v>
      </c>
      <c r="B20" s="792"/>
      <c r="C20" s="113">
        <f>C21</f>
        <v>300000</v>
      </c>
      <c r="D20" s="113">
        <f>D21</f>
        <v>300000</v>
      </c>
      <c r="E20" s="595">
        <f>E21</f>
        <v>0</v>
      </c>
      <c r="F20" s="595">
        <f>F21</f>
        <v>300000</v>
      </c>
      <c r="G20" s="113">
        <f>E20*100/D20</f>
        <v>0</v>
      </c>
      <c r="H20" s="112" t="s">
        <v>1013</v>
      </c>
      <c r="I20" s="651"/>
    </row>
    <row r="21" spans="1:9" s="1" customFormat="1" ht="39.75" hidden="1" customHeight="1" x14ac:dyDescent="0.3">
      <c r="A21" s="793" t="s">
        <v>156</v>
      </c>
      <c r="B21" s="794"/>
      <c r="C21" s="113">
        <v>300000</v>
      </c>
      <c r="D21" s="113">
        <v>300000</v>
      </c>
      <c r="E21" s="595">
        <v>0</v>
      </c>
      <c r="F21" s="595">
        <f>C21-E21</f>
        <v>300000</v>
      </c>
      <c r="G21" s="113">
        <f t="shared" ref="G21:G39" si="2">E21*100/C21</f>
        <v>0</v>
      </c>
      <c r="H21" s="112" t="s">
        <v>192</v>
      </c>
      <c r="I21" s="649"/>
    </row>
    <row r="22" spans="1:9" s="1" customFormat="1" ht="22.5" customHeight="1" x14ac:dyDescent="0.3">
      <c r="A22" s="791" t="s">
        <v>157</v>
      </c>
      <c r="B22" s="792"/>
      <c r="C22" s="113">
        <f>C23+C32+C39+C42</f>
        <v>4204000</v>
      </c>
      <c r="D22" s="113">
        <f>D23+D32+D39+D42</f>
        <v>3557068.9</v>
      </c>
      <c r="E22" s="595">
        <f>E23+E32+E39+E42</f>
        <v>2922242.6399999997</v>
      </c>
      <c r="F22" s="595">
        <f>F23+F32+F39+F42</f>
        <v>633826.26</v>
      </c>
      <c r="G22" s="595">
        <f t="shared" si="2"/>
        <v>69.511004757373911</v>
      </c>
      <c r="H22" s="112"/>
      <c r="I22" s="649"/>
    </row>
    <row r="23" spans="1:9" s="1" customFormat="1" ht="39.75" customHeight="1" x14ac:dyDescent="0.2">
      <c r="A23" s="793" t="s">
        <v>158</v>
      </c>
      <c r="B23" s="794"/>
      <c r="C23" s="113">
        <f>C24+C25+C26+C27+C28+C29+C30+C31</f>
        <v>1000000</v>
      </c>
      <c r="D23" s="113">
        <f>D24+D25+D26+D27+D28+D29+D30+D31</f>
        <v>1000000</v>
      </c>
      <c r="E23" s="595">
        <f>E24+E25+E26+E27+E28+E29+E30+E31</f>
        <v>905923.39999999991</v>
      </c>
      <c r="F23" s="595">
        <f>F24+F25+F26+F27+F28+F29+F30+F31</f>
        <v>94076.60000000002</v>
      </c>
      <c r="G23" s="595">
        <f t="shared" si="2"/>
        <v>90.592339999999979</v>
      </c>
      <c r="H23" s="112" t="s">
        <v>1013</v>
      </c>
      <c r="I23" s="651" t="s">
        <v>987</v>
      </c>
    </row>
    <row r="24" spans="1:9" s="1" customFormat="1" ht="39.75" customHeight="1" x14ac:dyDescent="0.3">
      <c r="A24" s="605"/>
      <c r="B24" s="12" t="s">
        <v>178</v>
      </c>
      <c r="C24" s="114">
        <v>372000</v>
      </c>
      <c r="D24" s="114">
        <v>372000</v>
      </c>
      <c r="E24" s="599">
        <f>40558.8+39126.8+25000+25000+25000+20000+20000+7000+14484+21896+230+11500+10000+180+7008+1160+230+40000-1000+4300+4200</f>
        <v>315873.59999999998</v>
      </c>
      <c r="F24" s="599">
        <f t="shared" ref="F24:F31" si="3">C24-E24</f>
        <v>56126.400000000023</v>
      </c>
      <c r="G24" s="599">
        <f t="shared" si="2"/>
        <v>84.912258064516124</v>
      </c>
      <c r="H24" s="68"/>
      <c r="I24" s="649"/>
    </row>
    <row r="25" spans="1:9" s="1" customFormat="1" ht="24" customHeight="1" x14ac:dyDescent="0.3">
      <c r="A25" s="605"/>
      <c r="B25" s="12" t="s">
        <v>159</v>
      </c>
      <c r="C25" s="114">
        <v>360000</v>
      </c>
      <c r="D25" s="114">
        <v>360000</v>
      </c>
      <c r="E25" s="599">
        <f>49830+70000+96500+30000+81500+32170</f>
        <v>360000</v>
      </c>
      <c r="F25" s="599">
        <f t="shared" si="3"/>
        <v>0</v>
      </c>
      <c r="G25" s="599">
        <f t="shared" si="2"/>
        <v>100</v>
      </c>
      <c r="H25" s="68"/>
      <c r="I25" s="649"/>
    </row>
    <row r="26" spans="1:9" s="1" customFormat="1" ht="20.25" customHeight="1" x14ac:dyDescent="0.3">
      <c r="A26" s="605"/>
      <c r="B26" s="12" t="s">
        <v>160</v>
      </c>
      <c r="C26" s="114">
        <v>40000</v>
      </c>
      <c r="D26" s="114">
        <v>40000</v>
      </c>
      <c r="E26" s="599">
        <f>792+248+792+1352+5432+1160+1160+792+792+1862+21400+26+840+165+230+733+2064+160</f>
        <v>40000</v>
      </c>
      <c r="F26" s="599">
        <f t="shared" si="3"/>
        <v>0</v>
      </c>
      <c r="G26" s="599">
        <f t="shared" si="2"/>
        <v>100</v>
      </c>
      <c r="H26" s="68"/>
      <c r="I26" s="649"/>
    </row>
    <row r="27" spans="1:9" s="1" customFormat="1" ht="21" customHeight="1" x14ac:dyDescent="0.3">
      <c r="A27" s="605"/>
      <c r="B27" s="12" t="s">
        <v>161</v>
      </c>
      <c r="C27" s="114">
        <v>20000</v>
      </c>
      <c r="D27" s="114">
        <v>20000</v>
      </c>
      <c r="E27" s="599">
        <f>3000+14060+2100+840</f>
        <v>20000</v>
      </c>
      <c r="F27" s="599">
        <f t="shared" si="3"/>
        <v>0</v>
      </c>
      <c r="G27" s="599">
        <f t="shared" si="2"/>
        <v>100</v>
      </c>
      <c r="H27" s="68"/>
      <c r="I27" s="649"/>
    </row>
    <row r="28" spans="1:9" s="1" customFormat="1" ht="22.5" customHeight="1" x14ac:dyDescent="0.3">
      <c r="A28" s="605"/>
      <c r="B28" s="12" t="s">
        <v>162</v>
      </c>
      <c r="C28" s="114">
        <v>30000</v>
      </c>
      <c r="D28" s="114">
        <v>30000</v>
      </c>
      <c r="E28" s="599">
        <f>3700+6163.2+1112+4560+1500+1280+1680+10</f>
        <v>20005.2</v>
      </c>
      <c r="F28" s="599">
        <f t="shared" si="3"/>
        <v>9994.7999999999993</v>
      </c>
      <c r="G28" s="599">
        <f t="shared" si="2"/>
        <v>66.683999999999997</v>
      </c>
      <c r="H28" s="68"/>
      <c r="I28" s="649"/>
    </row>
    <row r="29" spans="1:9" s="1" customFormat="1" ht="39.75" customHeight="1" x14ac:dyDescent="0.3">
      <c r="A29" s="605"/>
      <c r="B29" s="12" t="s">
        <v>261</v>
      </c>
      <c r="C29" s="114">
        <v>14000</v>
      </c>
      <c r="D29" s="114">
        <v>14000</v>
      </c>
      <c r="E29" s="599">
        <f>4200+4200+4200+1050+350</f>
        <v>14000</v>
      </c>
      <c r="F29" s="599">
        <f t="shared" si="3"/>
        <v>0</v>
      </c>
      <c r="G29" s="599">
        <f t="shared" si="2"/>
        <v>100</v>
      </c>
      <c r="H29" s="68"/>
      <c r="I29" s="649"/>
    </row>
    <row r="30" spans="1:9" s="1" customFormat="1" ht="39.75" customHeight="1" x14ac:dyDescent="0.3">
      <c r="A30" s="605"/>
      <c r="B30" s="12" t="s">
        <v>691</v>
      </c>
      <c r="C30" s="114">
        <v>156000</v>
      </c>
      <c r="D30" s="114">
        <v>156000</v>
      </c>
      <c r="E30" s="599">
        <f>22980+31804+40057+4200+6828.8+1790+1040+1080+175+330+160+5024.8+1678+3033+120+4174+455+490+2625</f>
        <v>128044.6</v>
      </c>
      <c r="F30" s="599">
        <f t="shared" si="3"/>
        <v>27955.399999999994</v>
      </c>
      <c r="G30" s="599">
        <f t="shared" si="2"/>
        <v>82.079871794871792</v>
      </c>
      <c r="H30" s="68"/>
      <c r="I30" s="649"/>
    </row>
    <row r="31" spans="1:9" s="1" customFormat="1" ht="21" customHeight="1" x14ac:dyDescent="0.3">
      <c r="A31" s="605"/>
      <c r="B31" s="12" t="s">
        <v>163</v>
      </c>
      <c r="C31" s="114">
        <v>8000</v>
      </c>
      <c r="D31" s="114">
        <v>8000</v>
      </c>
      <c r="E31" s="599">
        <f>1750+5176+1074</f>
        <v>8000</v>
      </c>
      <c r="F31" s="599">
        <f t="shared" si="3"/>
        <v>0</v>
      </c>
      <c r="G31" s="599">
        <f t="shared" si="2"/>
        <v>100</v>
      </c>
      <c r="H31" s="68"/>
      <c r="I31" s="649"/>
    </row>
    <row r="32" spans="1:9" s="1" customFormat="1" ht="60" customHeight="1" x14ac:dyDescent="0.2">
      <c r="A32" s="793" t="s">
        <v>164</v>
      </c>
      <c r="B32" s="794"/>
      <c r="C32" s="113">
        <f>C33+C34+C35+C36+C37+C38</f>
        <v>1104000</v>
      </c>
      <c r="D32" s="113">
        <f>D33+D34+D35+D36+D37+D38</f>
        <v>1104000</v>
      </c>
      <c r="E32" s="595">
        <f>E33+E34+E35+E36+E37+E38</f>
        <v>984355.33999999985</v>
      </c>
      <c r="F32" s="595">
        <f>F33+F34+F35+F36+F37+F38</f>
        <v>119644.66000000002</v>
      </c>
      <c r="G32" s="595">
        <f t="shared" si="2"/>
        <v>89.162621376811586</v>
      </c>
      <c r="H32" s="112" t="s">
        <v>1013</v>
      </c>
      <c r="I32" s="651" t="s">
        <v>987</v>
      </c>
    </row>
    <row r="33" spans="1:12" s="1" customFormat="1" ht="59.25" customHeight="1" x14ac:dyDescent="0.3">
      <c r="A33" s="605"/>
      <c r="B33" s="12" t="s">
        <v>166</v>
      </c>
      <c r="C33" s="114">
        <v>180000</v>
      </c>
      <c r="D33" s="114">
        <v>180000</v>
      </c>
      <c r="E33" s="599">
        <f>14032.26+15000+15000+15000+15000+10903.23+12133.33+13000+13000+13000+13000</f>
        <v>149068.82</v>
      </c>
      <c r="F33" s="599">
        <f t="shared" ref="F33:F38" si="4">C33-E33</f>
        <v>30931.179999999993</v>
      </c>
      <c r="G33" s="599">
        <f t="shared" si="2"/>
        <v>82.816011111111109</v>
      </c>
      <c r="H33" s="68"/>
      <c r="I33" s="649"/>
    </row>
    <row r="34" spans="1:12" s="1" customFormat="1" ht="58.5" customHeight="1" x14ac:dyDescent="0.3">
      <c r="A34" s="605"/>
      <c r="B34" s="12" t="s">
        <v>165</v>
      </c>
      <c r="C34" s="114">
        <v>168000</v>
      </c>
      <c r="D34" s="114">
        <v>168000</v>
      </c>
      <c r="E34" s="599">
        <f>13096.77+14000+14000+14000+14000+14000+13066.66+14000+14000+14000+14000</f>
        <v>152163.43</v>
      </c>
      <c r="F34" s="599">
        <f t="shared" si="4"/>
        <v>15836.570000000007</v>
      </c>
      <c r="G34" s="599">
        <f t="shared" si="2"/>
        <v>90.57347023809524</v>
      </c>
      <c r="H34" s="68"/>
      <c r="I34" s="649"/>
    </row>
    <row r="35" spans="1:12" s="1" customFormat="1" ht="60" customHeight="1" x14ac:dyDescent="0.3">
      <c r="A35" s="605"/>
      <c r="B35" s="12" t="s">
        <v>167</v>
      </c>
      <c r="C35" s="114">
        <v>180000</v>
      </c>
      <c r="D35" s="114">
        <v>180000</v>
      </c>
      <c r="E35" s="599">
        <f>14032.26+15000+15000+15000+15000+15000+13500+15000+15000+15000+15000</f>
        <v>162532.26</v>
      </c>
      <c r="F35" s="599">
        <f t="shared" si="4"/>
        <v>17467.739999999991</v>
      </c>
      <c r="G35" s="599">
        <f t="shared" si="2"/>
        <v>90.295699999999997</v>
      </c>
      <c r="H35" s="68"/>
      <c r="I35" s="649"/>
    </row>
    <row r="36" spans="1:12" s="1" customFormat="1" ht="39.75" customHeight="1" x14ac:dyDescent="0.3">
      <c r="A36" s="605"/>
      <c r="B36" s="12" t="s">
        <v>168</v>
      </c>
      <c r="C36" s="114">
        <v>168000</v>
      </c>
      <c r="D36" s="114">
        <v>168000</v>
      </c>
      <c r="E36" s="599">
        <f>13096.77+14000+14000+14000+14000+14000+13066.66+14000+14000+14000+14000</f>
        <v>152163.43</v>
      </c>
      <c r="F36" s="599">
        <f t="shared" si="4"/>
        <v>15836.570000000007</v>
      </c>
      <c r="G36" s="599">
        <f t="shared" si="2"/>
        <v>90.57347023809524</v>
      </c>
      <c r="H36" s="68"/>
      <c r="I36" s="649"/>
    </row>
    <row r="37" spans="1:12" s="1" customFormat="1" ht="39.75" customHeight="1" x14ac:dyDescent="0.3">
      <c r="A37" s="605"/>
      <c r="B37" s="12" t="s">
        <v>169</v>
      </c>
      <c r="C37" s="114">
        <v>132000</v>
      </c>
      <c r="D37" s="114">
        <v>132000</v>
      </c>
      <c r="E37" s="599">
        <f>10290.32+11000+11000+11000+11000+11000+10266.66+11000+11000+11000+11000</f>
        <v>119556.98</v>
      </c>
      <c r="F37" s="599">
        <f t="shared" si="4"/>
        <v>12443.020000000004</v>
      </c>
      <c r="G37" s="599">
        <f t="shared" si="2"/>
        <v>90.573469696969696</v>
      </c>
      <c r="H37" s="68"/>
      <c r="I37" s="649"/>
    </row>
    <row r="38" spans="1:12" s="1" customFormat="1" ht="39.75" customHeight="1" x14ac:dyDescent="0.3">
      <c r="A38" s="605"/>
      <c r="B38" s="12" t="s">
        <v>170</v>
      </c>
      <c r="C38" s="114">
        <v>276000</v>
      </c>
      <c r="D38" s="114">
        <v>276000</v>
      </c>
      <c r="E38" s="599">
        <f>10758.06+11500+11500+10758.6+11500+11500+11500+11500+11500+11500+11500+11500+10733.33+10733.33+10387.1+11500+11500+11500+11500+11500+11500+11500</f>
        <v>248870.41999999998</v>
      </c>
      <c r="F38" s="599">
        <f t="shared" si="4"/>
        <v>27129.580000000016</v>
      </c>
      <c r="G38" s="599">
        <f t="shared" si="2"/>
        <v>90.170442028985505</v>
      </c>
      <c r="H38" s="68"/>
      <c r="I38" s="649"/>
    </row>
    <row r="39" spans="1:12" s="1" customFormat="1" ht="39.75" customHeight="1" x14ac:dyDescent="0.3">
      <c r="A39" s="793" t="s">
        <v>171</v>
      </c>
      <c r="B39" s="794"/>
      <c r="C39" s="113">
        <f>C40+C41</f>
        <v>100000</v>
      </c>
      <c r="D39" s="113">
        <f>D40+D41</f>
        <v>69510</v>
      </c>
      <c r="E39" s="595">
        <f>E40+E41</f>
        <v>29510</v>
      </c>
      <c r="F39" s="595">
        <f>F40+F41</f>
        <v>40000</v>
      </c>
      <c r="G39" s="595">
        <f t="shared" si="2"/>
        <v>29.51</v>
      </c>
      <c r="H39" s="112" t="s">
        <v>1013</v>
      </c>
      <c r="I39" s="649"/>
    </row>
    <row r="40" spans="1:12" s="1" customFormat="1" ht="75" x14ac:dyDescent="0.2">
      <c r="A40" s="605"/>
      <c r="B40" s="12" t="s">
        <v>983</v>
      </c>
      <c r="C40" s="114">
        <v>60000</v>
      </c>
      <c r="D40" s="114">
        <f>60000-30490</f>
        <v>29510</v>
      </c>
      <c r="E40" s="599">
        <f>455+1155+7840+5420+1050+1050+875+10790+875</f>
        <v>29510</v>
      </c>
      <c r="F40" s="599">
        <f>D40-E40</f>
        <v>0</v>
      </c>
      <c r="G40" s="599">
        <v>100</v>
      </c>
      <c r="H40" s="68"/>
      <c r="I40" s="651" t="s">
        <v>1014</v>
      </c>
    </row>
    <row r="41" spans="1:12" s="1" customFormat="1" ht="56.25" x14ac:dyDescent="0.2">
      <c r="A41" s="607"/>
      <c r="B41" s="12" t="s">
        <v>985</v>
      </c>
      <c r="C41" s="114">
        <v>40000</v>
      </c>
      <c r="D41" s="114">
        <v>40000</v>
      </c>
      <c r="E41" s="599">
        <v>0</v>
      </c>
      <c r="F41" s="599">
        <f>C41-E41</f>
        <v>40000</v>
      </c>
      <c r="G41" s="648">
        <f>E41*100/C41</f>
        <v>0</v>
      </c>
      <c r="H41" s="68"/>
      <c r="I41" s="651" t="s">
        <v>987</v>
      </c>
    </row>
    <row r="42" spans="1:12" s="1" customFormat="1" ht="39.75" customHeight="1" x14ac:dyDescent="0.2">
      <c r="A42" s="793" t="s">
        <v>172</v>
      </c>
      <c r="B42" s="802"/>
      <c r="C42" s="113">
        <v>2000000</v>
      </c>
      <c r="D42" s="113">
        <f>SUM(D43:D53)</f>
        <v>1383558.9</v>
      </c>
      <c r="E42" s="595">
        <f>E43+E44+E45+E46+E47+E48+E49+E50+E51+E52+E53</f>
        <v>1002453.9</v>
      </c>
      <c r="F42" s="595">
        <f>F43+F44+F45+F46+F47+F48+F49+F50+F51+F52+F53</f>
        <v>380105</v>
      </c>
      <c r="G42" s="603">
        <f>E42*100/D42</f>
        <v>72.454732501811094</v>
      </c>
      <c r="H42" s="112" t="s">
        <v>1013</v>
      </c>
      <c r="I42" s="651" t="s">
        <v>988</v>
      </c>
    </row>
    <row r="43" spans="1:12" s="1" customFormat="1" ht="35.25" customHeight="1" x14ac:dyDescent="0.2">
      <c r="A43" s="605"/>
      <c r="B43" s="12" t="s">
        <v>184</v>
      </c>
      <c r="C43" s="114">
        <v>73520</v>
      </c>
      <c r="D43" s="114">
        <f>73520-600</f>
        <v>72920</v>
      </c>
      <c r="E43" s="599">
        <f>42020+12500+15000+3400</f>
        <v>72920</v>
      </c>
      <c r="F43" s="599">
        <f>D43-E43</f>
        <v>0</v>
      </c>
      <c r="G43" s="604">
        <v>100</v>
      </c>
      <c r="H43" s="68" t="s">
        <v>1019</v>
      </c>
      <c r="I43" s="651" t="s">
        <v>1015</v>
      </c>
    </row>
    <row r="44" spans="1:12" s="1" customFormat="1" ht="56.25" customHeight="1" x14ac:dyDescent="0.2">
      <c r="A44" s="605"/>
      <c r="B44" s="12" t="s">
        <v>737</v>
      </c>
      <c r="C44" s="114">
        <f t="shared" ref="C44:C52" si="5">D44</f>
        <v>100000</v>
      </c>
      <c r="D44" s="114">
        <v>100000</v>
      </c>
      <c r="E44" s="599">
        <f>17980+4080-80+30000+10000+6960</f>
        <v>68940</v>
      </c>
      <c r="F44" s="599">
        <f>C44-E44</f>
        <v>31060</v>
      </c>
      <c r="G44" s="604">
        <f t="shared" ref="G44:G49" si="6">E44*100/C44</f>
        <v>68.94</v>
      </c>
      <c r="H44" s="68" t="s">
        <v>1008</v>
      </c>
      <c r="I44" s="651" t="s">
        <v>987</v>
      </c>
    </row>
    <row r="45" spans="1:12" s="1" customFormat="1" ht="93.75" x14ac:dyDescent="0.3">
      <c r="A45" s="605"/>
      <c r="B45" s="12" t="s">
        <v>342</v>
      </c>
      <c r="C45" s="114">
        <f t="shared" si="5"/>
        <v>70000</v>
      </c>
      <c r="D45" s="114">
        <v>70000</v>
      </c>
      <c r="E45" s="599">
        <v>70000</v>
      </c>
      <c r="F45" s="599">
        <f t="shared" ref="F45:F53" si="7">D45-E45</f>
        <v>0</v>
      </c>
      <c r="G45" s="604">
        <f t="shared" si="6"/>
        <v>100</v>
      </c>
      <c r="H45" s="68" t="s">
        <v>1009</v>
      </c>
      <c r="I45" s="649"/>
      <c r="J45" s="139">
        <v>3500000</v>
      </c>
      <c r="K45" s="139">
        <f>D42+D57</f>
        <v>2811958.9</v>
      </c>
      <c r="L45" s="139">
        <f>J45-K45</f>
        <v>688041.10000000009</v>
      </c>
    </row>
    <row r="46" spans="1:12" s="1" customFormat="1" ht="93.75" x14ac:dyDescent="0.3">
      <c r="A46" s="605"/>
      <c r="B46" s="12" t="s">
        <v>343</v>
      </c>
      <c r="C46" s="114">
        <f t="shared" si="5"/>
        <v>80000</v>
      </c>
      <c r="D46" s="114">
        <v>80000</v>
      </c>
      <c r="E46" s="599">
        <v>80000</v>
      </c>
      <c r="F46" s="599">
        <f t="shared" si="7"/>
        <v>0</v>
      </c>
      <c r="G46" s="604">
        <f t="shared" si="6"/>
        <v>100</v>
      </c>
      <c r="H46" s="68" t="s">
        <v>1009</v>
      </c>
      <c r="I46" s="649"/>
    </row>
    <row r="47" spans="1:12" s="1" customFormat="1" ht="75" x14ac:dyDescent="0.2">
      <c r="A47" s="605"/>
      <c r="B47" s="12" t="s">
        <v>345</v>
      </c>
      <c r="C47" s="114">
        <f t="shared" si="5"/>
        <v>280000</v>
      </c>
      <c r="D47" s="114">
        <v>280000</v>
      </c>
      <c r="E47" s="599">
        <f>40000+40000+40000+40000+40000+40000</f>
        <v>240000</v>
      </c>
      <c r="F47" s="599">
        <f t="shared" si="7"/>
        <v>40000</v>
      </c>
      <c r="G47" s="604">
        <f t="shared" si="6"/>
        <v>85.714285714285708</v>
      </c>
      <c r="H47" s="68" t="s">
        <v>344</v>
      </c>
      <c r="I47" s="651" t="s">
        <v>987</v>
      </c>
    </row>
    <row r="48" spans="1:12" s="1" customFormat="1" ht="56.25" customHeight="1" x14ac:dyDescent="0.3">
      <c r="A48" s="605"/>
      <c r="B48" s="12" t="s">
        <v>385</v>
      </c>
      <c r="C48" s="114">
        <f t="shared" si="5"/>
        <v>70000</v>
      </c>
      <c r="D48" s="114">
        <v>70000</v>
      </c>
      <c r="E48" s="599">
        <f>52700+1000+10915+2677+2708</f>
        <v>70000</v>
      </c>
      <c r="F48" s="599">
        <f t="shared" si="7"/>
        <v>0</v>
      </c>
      <c r="G48" s="604">
        <f t="shared" si="6"/>
        <v>100</v>
      </c>
      <c r="H48" s="68" t="s">
        <v>1010</v>
      </c>
      <c r="I48" s="649"/>
    </row>
    <row r="49" spans="1:11" s="1" customFormat="1" ht="57" customHeight="1" x14ac:dyDescent="0.2">
      <c r="A49" s="605"/>
      <c r="B49" s="12" t="s">
        <v>532</v>
      </c>
      <c r="C49" s="114">
        <f t="shared" si="5"/>
        <v>46000</v>
      </c>
      <c r="D49" s="114">
        <v>46000</v>
      </c>
      <c r="E49" s="599">
        <f>17000+5000+4000+3000+4000</f>
        <v>33000</v>
      </c>
      <c r="F49" s="599">
        <f t="shared" si="7"/>
        <v>13000</v>
      </c>
      <c r="G49" s="604">
        <f t="shared" si="6"/>
        <v>71.739130434782609</v>
      </c>
      <c r="H49" s="68" t="s">
        <v>1011</v>
      </c>
      <c r="I49" s="651" t="s">
        <v>987</v>
      </c>
    </row>
    <row r="50" spans="1:11" s="1" customFormat="1" ht="37.5" x14ac:dyDescent="0.2">
      <c r="A50" s="605"/>
      <c r="B50" s="12" t="s">
        <v>533</v>
      </c>
      <c r="C50" s="114">
        <v>75380</v>
      </c>
      <c r="D50" s="114">
        <f>75380-2631.1</f>
        <v>72748.899999999994</v>
      </c>
      <c r="E50" s="599">
        <f>55880+13500+5118.9-1750</f>
        <v>72748.899999999994</v>
      </c>
      <c r="F50" s="599">
        <f t="shared" si="7"/>
        <v>0</v>
      </c>
      <c r="G50" s="604">
        <v>100</v>
      </c>
      <c r="H50" s="68" t="s">
        <v>1019</v>
      </c>
      <c r="I50" s="651" t="s">
        <v>1042</v>
      </c>
      <c r="J50" s="1">
        <v>2631.1</v>
      </c>
    </row>
    <row r="51" spans="1:11" s="1" customFormat="1" ht="69" x14ac:dyDescent="0.2">
      <c r="A51" s="605"/>
      <c r="B51" s="12" t="s">
        <v>551</v>
      </c>
      <c r="C51" s="114">
        <v>91500</v>
      </c>
      <c r="D51" s="114">
        <f>91500-300</f>
        <v>91200</v>
      </c>
      <c r="E51" s="599">
        <f>600+49600+40000</f>
        <v>90200</v>
      </c>
      <c r="F51" s="599">
        <v>0</v>
      </c>
      <c r="G51" s="604">
        <v>100</v>
      </c>
      <c r="H51" s="68" t="s">
        <v>1018</v>
      </c>
      <c r="I51" s="653" t="s">
        <v>1038</v>
      </c>
    </row>
    <row r="52" spans="1:11" s="1" customFormat="1" ht="51.75" x14ac:dyDescent="0.2">
      <c r="A52" s="605"/>
      <c r="B52" s="12" t="s">
        <v>556</v>
      </c>
      <c r="C52" s="114">
        <f t="shared" si="5"/>
        <v>450300</v>
      </c>
      <c r="D52" s="114">
        <v>450300</v>
      </c>
      <c r="E52" s="599">
        <f>22300+16500+10000+90655+14800</f>
        <v>154255</v>
      </c>
      <c r="F52" s="599">
        <f t="shared" si="7"/>
        <v>296045</v>
      </c>
      <c r="G52" s="604">
        <f>E52*100/D52</f>
        <v>34.256051521208086</v>
      </c>
      <c r="H52" s="68" t="s">
        <v>1012</v>
      </c>
      <c r="I52" s="651" t="s">
        <v>987</v>
      </c>
      <c r="J52" s="139"/>
    </row>
    <row r="53" spans="1:11" s="1" customFormat="1" ht="69" x14ac:dyDescent="0.2">
      <c r="A53" s="605"/>
      <c r="B53" s="12" t="s">
        <v>557</v>
      </c>
      <c r="C53" s="114">
        <v>53300</v>
      </c>
      <c r="D53" s="114">
        <f>53300-2910</f>
        <v>50390</v>
      </c>
      <c r="E53" s="599">
        <f>31000+10000+3000+3850+2000+540</f>
        <v>50390</v>
      </c>
      <c r="F53" s="599">
        <f t="shared" si="7"/>
        <v>0</v>
      </c>
      <c r="G53" s="604">
        <v>100</v>
      </c>
      <c r="H53" s="68" t="s">
        <v>1018</v>
      </c>
      <c r="I53" s="651" t="s">
        <v>1016</v>
      </c>
      <c r="J53" s="139"/>
    </row>
    <row r="54" spans="1:11" s="1" customFormat="1" ht="59.25" customHeight="1" x14ac:dyDescent="0.2">
      <c r="A54" s="791" t="s">
        <v>173</v>
      </c>
      <c r="B54" s="792"/>
      <c r="C54" s="113">
        <f>C55+C57</f>
        <v>1643000</v>
      </c>
      <c r="D54" s="113">
        <f>D55+D57</f>
        <v>1571400</v>
      </c>
      <c r="E54" s="595">
        <f>E55+E57</f>
        <v>1460050</v>
      </c>
      <c r="F54" s="595">
        <f>F55+F57</f>
        <v>111350</v>
      </c>
      <c r="G54" s="595">
        <f>E54*100/C54</f>
        <v>88.864881314668295</v>
      </c>
      <c r="H54" s="112"/>
      <c r="I54" s="651"/>
    </row>
    <row r="55" spans="1:11" s="1" customFormat="1" ht="39" customHeight="1" x14ac:dyDescent="0.2">
      <c r="A55" s="793" t="s">
        <v>174</v>
      </c>
      <c r="B55" s="802"/>
      <c r="C55" s="113">
        <f>D55</f>
        <v>143000</v>
      </c>
      <c r="D55" s="113">
        <f>D56</f>
        <v>143000</v>
      </c>
      <c r="E55" s="595">
        <f>E56</f>
        <v>85400</v>
      </c>
      <c r="F55" s="595">
        <f>F56</f>
        <v>57600</v>
      </c>
      <c r="G55" s="599">
        <f>E55*100/C55</f>
        <v>59.72027972027972</v>
      </c>
      <c r="H55" s="112" t="s">
        <v>1013</v>
      </c>
      <c r="I55" s="653" t="s">
        <v>989</v>
      </c>
    </row>
    <row r="56" spans="1:11" s="1" customFormat="1" ht="93.75" hidden="1" x14ac:dyDescent="0.3">
      <c r="A56" s="606"/>
      <c r="B56" s="12" t="s">
        <v>349</v>
      </c>
      <c r="C56" s="113"/>
      <c r="D56" s="114">
        <v>143000</v>
      </c>
      <c r="E56" s="599">
        <f>11900+14600+16100+10900+14600+17300</f>
        <v>85400</v>
      </c>
      <c r="F56" s="599">
        <f>D56-E56</f>
        <v>57600</v>
      </c>
      <c r="G56" s="599">
        <f>E56*100/D56</f>
        <v>59.72027972027972</v>
      </c>
      <c r="H56" s="68"/>
      <c r="I56" s="649"/>
    </row>
    <row r="57" spans="1:11" s="1" customFormat="1" ht="36.75" customHeight="1" x14ac:dyDescent="0.2">
      <c r="A57" s="793" t="s">
        <v>175</v>
      </c>
      <c r="B57" s="802"/>
      <c r="C57" s="113">
        <v>1500000</v>
      </c>
      <c r="D57" s="113">
        <f>SUM(D58:D64)</f>
        <v>1428400</v>
      </c>
      <c r="E57" s="595">
        <f>E58+E59+E60+E61+E62+E63+E64</f>
        <v>1374650</v>
      </c>
      <c r="F57" s="595">
        <f>F58+F59+F60+F61+F62+F63+F64</f>
        <v>53750</v>
      </c>
      <c r="G57" s="595">
        <f t="shared" ref="G57:G74" si="8">E57*100/C57</f>
        <v>91.643333333333331</v>
      </c>
      <c r="H57" s="112" t="s">
        <v>1013</v>
      </c>
      <c r="I57" s="651" t="s">
        <v>990</v>
      </c>
    </row>
    <row r="58" spans="1:11" s="1" customFormat="1" ht="39.75" customHeight="1" x14ac:dyDescent="0.2">
      <c r="A58" s="605"/>
      <c r="B58" s="12" t="s">
        <v>183</v>
      </c>
      <c r="C58" s="114">
        <f t="shared" ref="C58:C64" si="9">D58</f>
        <v>145000</v>
      </c>
      <c r="D58" s="114">
        <v>145000</v>
      </c>
      <c r="E58" s="599">
        <f>1000+2100+32000+3100+16000+3100+3100+16000+14750+9900+3100+8000+3100</f>
        <v>115250</v>
      </c>
      <c r="F58" s="599">
        <f>C58-E58</f>
        <v>29750</v>
      </c>
      <c r="G58" s="599">
        <f t="shared" si="8"/>
        <v>79.482758620689651</v>
      </c>
      <c r="H58" s="68" t="s">
        <v>1017</v>
      </c>
      <c r="I58" s="651" t="s">
        <v>987</v>
      </c>
    </row>
    <row r="59" spans="1:11" s="1" customFormat="1" ht="39.75" customHeight="1" x14ac:dyDescent="0.2">
      <c r="A59" s="605"/>
      <c r="B59" s="12" t="s">
        <v>346</v>
      </c>
      <c r="C59" s="114">
        <f t="shared" si="9"/>
        <v>240000</v>
      </c>
      <c r="D59" s="114">
        <v>240000</v>
      </c>
      <c r="E59" s="599">
        <f>24000+24000+24000+24000+24000+24000+24000+24000+24000</f>
        <v>216000</v>
      </c>
      <c r="F59" s="599">
        <f t="shared" ref="F59:F64" si="10">D59-E59</f>
        <v>24000</v>
      </c>
      <c r="G59" s="599">
        <f t="shared" si="8"/>
        <v>90</v>
      </c>
      <c r="H59" s="68" t="s">
        <v>1013</v>
      </c>
      <c r="I59" s="653" t="s">
        <v>991</v>
      </c>
    </row>
    <row r="60" spans="1:11" s="1" customFormat="1" ht="39.75" customHeight="1" x14ac:dyDescent="0.3">
      <c r="A60" s="605"/>
      <c r="B60" s="12" t="s">
        <v>347</v>
      </c>
      <c r="C60" s="114">
        <f t="shared" si="9"/>
        <v>90750</v>
      </c>
      <c r="D60" s="114">
        <v>90750</v>
      </c>
      <c r="E60" s="599">
        <v>90750</v>
      </c>
      <c r="F60" s="599">
        <f t="shared" si="10"/>
        <v>0</v>
      </c>
      <c r="G60" s="599">
        <f t="shared" si="8"/>
        <v>100</v>
      </c>
      <c r="H60" s="68" t="s">
        <v>1013</v>
      </c>
      <c r="I60" s="649"/>
    </row>
    <row r="61" spans="1:11" s="1" customFormat="1" ht="39.75" customHeight="1" x14ac:dyDescent="0.3">
      <c r="A61" s="605"/>
      <c r="B61" s="12" t="s">
        <v>348</v>
      </c>
      <c r="C61" s="114">
        <f t="shared" si="9"/>
        <v>37000</v>
      </c>
      <c r="D61" s="114">
        <v>37000</v>
      </c>
      <c r="E61" s="599">
        <v>37000</v>
      </c>
      <c r="F61" s="599">
        <f t="shared" si="10"/>
        <v>0</v>
      </c>
      <c r="G61" s="599">
        <f t="shared" si="8"/>
        <v>100</v>
      </c>
      <c r="H61" s="68" t="s">
        <v>1017</v>
      </c>
      <c r="I61" s="649"/>
    </row>
    <row r="62" spans="1:11" s="1" customFormat="1" ht="56.25" x14ac:dyDescent="0.3">
      <c r="A62" s="605"/>
      <c r="B62" s="12" t="s">
        <v>534</v>
      </c>
      <c r="C62" s="114">
        <f t="shared" si="9"/>
        <v>460000</v>
      </c>
      <c r="D62" s="114">
        <v>460000</v>
      </c>
      <c r="E62" s="599">
        <v>460000</v>
      </c>
      <c r="F62" s="599">
        <f t="shared" si="10"/>
        <v>0</v>
      </c>
      <c r="G62" s="599">
        <f t="shared" si="8"/>
        <v>100</v>
      </c>
      <c r="H62" s="68" t="s">
        <v>1013</v>
      </c>
      <c r="I62" s="649"/>
    </row>
    <row r="63" spans="1:11" s="1" customFormat="1" ht="56.25" x14ac:dyDescent="0.3">
      <c r="A63" s="607"/>
      <c r="B63" s="12" t="s">
        <v>555</v>
      </c>
      <c r="C63" s="114">
        <f t="shared" si="9"/>
        <v>410000</v>
      </c>
      <c r="D63" s="114">
        <v>410000</v>
      </c>
      <c r="E63" s="599">
        <v>410000</v>
      </c>
      <c r="F63" s="599">
        <f t="shared" si="10"/>
        <v>0</v>
      </c>
      <c r="G63" s="599">
        <f t="shared" si="8"/>
        <v>100</v>
      </c>
      <c r="H63" s="68" t="s">
        <v>1013</v>
      </c>
      <c r="I63" s="649"/>
      <c r="K63" s="139"/>
    </row>
    <row r="64" spans="1:11" s="1" customFormat="1" ht="75" x14ac:dyDescent="0.3">
      <c r="A64" s="607"/>
      <c r="B64" s="12" t="s">
        <v>615</v>
      </c>
      <c r="C64" s="114">
        <f t="shared" si="9"/>
        <v>45650</v>
      </c>
      <c r="D64" s="114">
        <v>45650</v>
      </c>
      <c r="E64" s="599">
        <f>20000+25650</f>
        <v>45650</v>
      </c>
      <c r="F64" s="599">
        <f t="shared" si="10"/>
        <v>0</v>
      </c>
      <c r="G64" s="599">
        <f t="shared" si="8"/>
        <v>100</v>
      </c>
      <c r="H64" s="68" t="s">
        <v>1013</v>
      </c>
      <c r="I64" s="649"/>
      <c r="K64" s="139"/>
    </row>
    <row r="65" spans="1:10" s="1" customFormat="1" ht="23.25" customHeight="1" x14ac:dyDescent="0.3">
      <c r="A65" s="791" t="s">
        <v>176</v>
      </c>
      <c r="B65" s="792"/>
      <c r="C65" s="113">
        <f>C66</f>
        <v>841000</v>
      </c>
      <c r="D65" s="113">
        <f>D66</f>
        <v>841000</v>
      </c>
      <c r="E65" s="595">
        <f>E66</f>
        <v>462895.4</v>
      </c>
      <c r="F65" s="595">
        <f>F66</f>
        <v>378104.6</v>
      </c>
      <c r="G65" s="595">
        <f t="shared" si="8"/>
        <v>55.041070154577881</v>
      </c>
      <c r="H65" s="112"/>
      <c r="I65" s="649"/>
    </row>
    <row r="66" spans="1:10" s="1" customFormat="1" ht="39.75" customHeight="1" x14ac:dyDescent="0.2">
      <c r="A66" s="793" t="s">
        <v>177</v>
      </c>
      <c r="B66" s="802"/>
      <c r="C66" s="113">
        <f>C67+C68+C69+C70+C72+C71+C73+C74</f>
        <v>841000</v>
      </c>
      <c r="D66" s="113">
        <f>D67+D68+D69+D70+D72+D71+D73+D74</f>
        <v>841000</v>
      </c>
      <c r="E66" s="595">
        <f>E67+E68+E69+E70+E72+E71+E73+E74</f>
        <v>462895.4</v>
      </c>
      <c r="F66" s="595">
        <f>F67+F68+F69+F70+F72+F71+F73+F74</f>
        <v>378104.6</v>
      </c>
      <c r="G66" s="595">
        <f t="shared" si="8"/>
        <v>55.041070154577881</v>
      </c>
      <c r="H66" s="112" t="s">
        <v>1013</v>
      </c>
      <c r="I66" s="651" t="s">
        <v>987</v>
      </c>
    </row>
    <row r="67" spans="1:10" s="1" customFormat="1" ht="39.75" customHeight="1" x14ac:dyDescent="0.3">
      <c r="A67" s="605"/>
      <c r="B67" s="12" t="s">
        <v>179</v>
      </c>
      <c r="C67" s="114">
        <v>408000</v>
      </c>
      <c r="D67" s="114">
        <v>408000</v>
      </c>
      <c r="E67" s="599">
        <f>18980.6+25629.6+14045+23539.8+15646+26140.4</f>
        <v>123981.4</v>
      </c>
      <c r="F67" s="599">
        <f t="shared" ref="F67:F74" si="11">C67-E67</f>
        <v>284018.59999999998</v>
      </c>
      <c r="G67" s="599">
        <f t="shared" si="8"/>
        <v>30.387598039215685</v>
      </c>
      <c r="H67" s="68"/>
      <c r="I67" s="649"/>
    </row>
    <row r="68" spans="1:10" s="1" customFormat="1" ht="24.75" customHeight="1" x14ac:dyDescent="0.3">
      <c r="A68" s="605"/>
      <c r="B68" s="12" t="s">
        <v>180</v>
      </c>
      <c r="C68" s="114">
        <v>60000</v>
      </c>
      <c r="D68" s="114">
        <v>60000</v>
      </c>
      <c r="E68" s="599">
        <f>29890+14200</f>
        <v>44090</v>
      </c>
      <c r="F68" s="599">
        <f t="shared" si="11"/>
        <v>15910</v>
      </c>
      <c r="G68" s="599">
        <f t="shared" si="8"/>
        <v>73.483333333333334</v>
      </c>
      <c r="H68" s="68"/>
      <c r="I68" s="649"/>
    </row>
    <row r="69" spans="1:10" s="1" customFormat="1" ht="20.25" customHeight="1" x14ac:dyDescent="0.3">
      <c r="A69" s="605"/>
      <c r="B69" s="12" t="s">
        <v>160</v>
      </c>
      <c r="C69" s="114">
        <v>30000</v>
      </c>
      <c r="D69" s="114">
        <v>30000</v>
      </c>
      <c r="E69" s="599"/>
      <c r="F69" s="599">
        <f t="shared" si="11"/>
        <v>30000</v>
      </c>
      <c r="G69" s="599">
        <f t="shared" si="8"/>
        <v>0</v>
      </c>
      <c r="H69" s="68"/>
      <c r="I69" s="649"/>
    </row>
    <row r="70" spans="1:10" s="1" customFormat="1" ht="18.75" customHeight="1" x14ac:dyDescent="0.3">
      <c r="A70" s="605"/>
      <c r="B70" s="12" t="s">
        <v>161</v>
      </c>
      <c r="C70" s="114">
        <v>50000</v>
      </c>
      <c r="D70" s="114">
        <v>50000</v>
      </c>
      <c r="E70" s="599">
        <f>49950+50</f>
        <v>50000</v>
      </c>
      <c r="F70" s="599">
        <f t="shared" si="11"/>
        <v>0</v>
      </c>
      <c r="G70" s="599">
        <f t="shared" si="8"/>
        <v>100</v>
      </c>
      <c r="H70" s="68"/>
      <c r="I70" s="649"/>
    </row>
    <row r="71" spans="1:10" s="1" customFormat="1" ht="18.75" customHeight="1" x14ac:dyDescent="0.3">
      <c r="A71" s="605"/>
      <c r="B71" s="12" t="s">
        <v>162</v>
      </c>
      <c r="C71" s="114">
        <v>50000</v>
      </c>
      <c r="D71" s="114">
        <v>50000</v>
      </c>
      <c r="E71" s="599">
        <v>14807.8</v>
      </c>
      <c r="F71" s="599">
        <f t="shared" si="11"/>
        <v>35192.199999999997</v>
      </c>
      <c r="G71" s="599">
        <f t="shared" si="8"/>
        <v>29.615600000000001</v>
      </c>
      <c r="H71" s="68"/>
      <c r="I71" s="649"/>
    </row>
    <row r="72" spans="1:10" s="1" customFormat="1" ht="60.75" customHeight="1" x14ac:dyDescent="0.3">
      <c r="A72" s="605"/>
      <c r="B72" s="12" t="s">
        <v>181</v>
      </c>
      <c r="C72" s="114">
        <v>30000</v>
      </c>
      <c r="D72" s="114">
        <v>30000</v>
      </c>
      <c r="E72" s="599">
        <f>1680+1250+875+900+1575+840+1050+1155+1050+840+665+1330+1520+1050+1645+1050+630+735+350+770+440+805+420+875+875+700+1400+315+700+560+420+770+350</f>
        <v>29590</v>
      </c>
      <c r="F72" s="599">
        <f t="shared" si="11"/>
        <v>410</v>
      </c>
      <c r="G72" s="599">
        <f t="shared" si="8"/>
        <v>98.63333333333334</v>
      </c>
      <c r="H72" s="68"/>
      <c r="I72" s="649"/>
    </row>
    <row r="73" spans="1:10" s="1" customFormat="1" ht="39.75" customHeight="1" x14ac:dyDescent="0.3">
      <c r="A73" s="605"/>
      <c r="B73" s="12" t="s">
        <v>182</v>
      </c>
      <c r="C73" s="114">
        <v>156000</v>
      </c>
      <c r="D73" s="114">
        <v>156000</v>
      </c>
      <c r="E73" s="599">
        <f>3787.2+22385+6469.2+2400+3589.6+8403.2+2951.6+6613.8+9456.8+8611.4+5452.4+3200+4936.4+8629.6+7933.6+13711.4+29965</f>
        <v>148496.19999999998</v>
      </c>
      <c r="F73" s="599">
        <f t="shared" si="11"/>
        <v>7503.8000000000175</v>
      </c>
      <c r="G73" s="599">
        <f t="shared" si="8"/>
        <v>95.189871794871777</v>
      </c>
      <c r="H73" s="68"/>
      <c r="I73" s="649"/>
      <c r="J73" s="1" t="s">
        <v>264</v>
      </c>
    </row>
    <row r="74" spans="1:10" s="1" customFormat="1" ht="21" customHeight="1" x14ac:dyDescent="0.3">
      <c r="A74" s="605"/>
      <c r="B74" s="12" t="s">
        <v>163</v>
      </c>
      <c r="C74" s="114">
        <v>57000</v>
      </c>
      <c r="D74" s="114">
        <v>57000</v>
      </c>
      <c r="E74" s="599">
        <f>1400+3360+2850+2850+40000+595+875</f>
        <v>51930</v>
      </c>
      <c r="F74" s="599">
        <f t="shared" si="11"/>
        <v>5070</v>
      </c>
      <c r="G74" s="599">
        <f t="shared" si="8"/>
        <v>91.10526315789474</v>
      </c>
      <c r="H74" s="68"/>
      <c r="I74" s="649"/>
    </row>
    <row r="75" spans="1:10" ht="36.75" customHeight="1" x14ac:dyDescent="0.3">
      <c r="A75" s="791" t="s">
        <v>984</v>
      </c>
      <c r="B75" s="792"/>
      <c r="C75" s="645"/>
      <c r="D75" s="645">
        <v>729400</v>
      </c>
      <c r="E75" s="646">
        <f>536740+30420+54240+24000+84000-148740</f>
        <v>580660</v>
      </c>
      <c r="F75" s="647">
        <v>0</v>
      </c>
      <c r="G75" s="644">
        <v>100</v>
      </c>
      <c r="H75" s="112" t="s">
        <v>1013</v>
      </c>
      <c r="I75" s="651" t="s">
        <v>1037</v>
      </c>
    </row>
    <row r="76" spans="1:10" s="1" customFormat="1" ht="75" customHeight="1" x14ac:dyDescent="0.3">
      <c r="A76" s="791" t="s">
        <v>1007</v>
      </c>
      <c r="B76" s="792"/>
      <c r="C76" s="645"/>
      <c r="D76" s="645">
        <v>50000</v>
      </c>
      <c r="E76" s="646">
        <f>7200+8000</f>
        <v>15200</v>
      </c>
      <c r="F76" s="647">
        <f>D76-E76</f>
        <v>34800</v>
      </c>
      <c r="G76" s="644">
        <f>E76*100/D76</f>
        <v>30.4</v>
      </c>
      <c r="H76" s="112" t="s">
        <v>1008</v>
      </c>
      <c r="I76" s="651" t="s">
        <v>987</v>
      </c>
    </row>
    <row r="77" spans="1:10" s="1" customFormat="1" ht="40.5" customHeight="1" x14ac:dyDescent="0.3">
      <c r="A77" s="758" t="s">
        <v>1036</v>
      </c>
      <c r="B77" s="757"/>
      <c r="C77" s="645"/>
      <c r="D77" s="645">
        <v>50000</v>
      </c>
      <c r="E77" s="646"/>
      <c r="F77" s="647">
        <f>D77-E77</f>
        <v>50000</v>
      </c>
      <c r="G77" s="644">
        <f>E77*100/D77</f>
        <v>0</v>
      </c>
      <c r="H77" s="112" t="s">
        <v>1013</v>
      </c>
      <c r="I77" s="651"/>
    </row>
    <row r="78" spans="1:10" s="654" customFormat="1" ht="51.75" customHeight="1" x14ac:dyDescent="0.3">
      <c r="B78" s="789" t="s">
        <v>1041</v>
      </c>
      <c r="C78" s="789"/>
      <c r="D78" s="789"/>
      <c r="E78" s="789"/>
      <c r="F78" s="789"/>
      <c r="G78" s="789"/>
      <c r="H78" s="789"/>
      <c r="I78" s="789"/>
    </row>
    <row r="79" spans="1:10" s="654" customFormat="1" ht="93.75" x14ac:dyDescent="0.3">
      <c r="B79" s="655" t="s">
        <v>1040</v>
      </c>
    </row>
    <row r="80" spans="1:10" s="654" customFormat="1" ht="18.75" x14ac:dyDescent="0.3">
      <c r="B80" s="790"/>
      <c r="C80" s="790"/>
      <c r="D80" s="790"/>
      <c r="E80" s="790"/>
      <c r="F80" s="790"/>
      <c r="G80" s="790"/>
      <c r="H80" s="790"/>
      <c r="I80" s="790"/>
    </row>
    <row r="81" spans="2:9" s="654" customFormat="1" ht="18.75" x14ac:dyDescent="0.3">
      <c r="B81" s="790"/>
      <c r="C81" s="790"/>
      <c r="D81" s="790"/>
      <c r="E81" s="790"/>
      <c r="F81" s="790"/>
      <c r="G81" s="790"/>
      <c r="H81" s="790"/>
      <c r="I81" s="790"/>
    </row>
    <row r="82" spans="2:9" s="654" customFormat="1" ht="18.75" x14ac:dyDescent="0.3"/>
    <row r="83" spans="2:9" s="654" customFormat="1" ht="18.75" x14ac:dyDescent="0.3"/>
  </sheetData>
  <mergeCells count="30">
    <mergeCell ref="I4:I5"/>
    <mergeCell ref="A1:I1"/>
    <mergeCell ref="A2:I2"/>
    <mergeCell ref="A75:B75"/>
    <mergeCell ref="H4:H5"/>
    <mergeCell ref="A21:B21"/>
    <mergeCell ref="A4:A5"/>
    <mergeCell ref="B4:B5"/>
    <mergeCell ref="C4:D4"/>
    <mergeCell ref="E4:G4"/>
    <mergeCell ref="A55:B55"/>
    <mergeCell ref="A57:B57"/>
    <mergeCell ref="A65:B65"/>
    <mergeCell ref="A66:B66"/>
    <mergeCell ref="A42:B42"/>
    <mergeCell ref="A54:B54"/>
    <mergeCell ref="A7:B7"/>
    <mergeCell ref="A8:B8"/>
    <mergeCell ref="A14:B14"/>
    <mergeCell ref="A15:B15"/>
    <mergeCell ref="A20:B20"/>
    <mergeCell ref="B78:I78"/>
    <mergeCell ref="B80:I80"/>
    <mergeCell ref="B81:I81"/>
    <mergeCell ref="A22:B22"/>
    <mergeCell ref="A23:B23"/>
    <mergeCell ref="A32:B32"/>
    <mergeCell ref="A39:B39"/>
    <mergeCell ref="A76:B76"/>
    <mergeCell ref="A77:B77"/>
  </mergeCells>
  <pageMargins left="0.19685039370078741" right="0.19685039370078741" top="0.27559055118110237" bottom="0.27559055118110237" header="0.31496062992125984" footer="0.31496062992125984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8"/>
  <sheetViews>
    <sheetView workbookViewId="0">
      <selection activeCell="G12" sqref="G12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60" customHeight="1" x14ac:dyDescent="0.2">
      <c r="A1" s="803" t="s">
        <v>270</v>
      </c>
      <c r="B1" s="804"/>
      <c r="C1" s="804"/>
      <c r="D1" s="804"/>
      <c r="E1" s="804"/>
      <c r="F1" s="804"/>
      <c r="G1" s="804"/>
    </row>
    <row r="2" spans="1:7" x14ac:dyDescent="0.2">
      <c r="A2" s="1"/>
      <c r="B2" s="1"/>
      <c r="C2" s="1"/>
      <c r="D2" s="1"/>
      <c r="E2" s="1"/>
      <c r="F2" s="1"/>
      <c r="G2" s="1"/>
    </row>
    <row r="3" spans="1:7" ht="21" x14ac:dyDescent="0.2">
      <c r="A3" s="805" t="s">
        <v>271</v>
      </c>
      <c r="B3" s="805" t="s">
        <v>77</v>
      </c>
      <c r="C3" s="805" t="s">
        <v>272</v>
      </c>
      <c r="D3" s="805" t="s">
        <v>273</v>
      </c>
      <c r="E3" s="805"/>
      <c r="F3" s="805"/>
      <c r="G3" s="805" t="s">
        <v>0</v>
      </c>
    </row>
    <row r="4" spans="1:7" ht="21" x14ac:dyDescent="0.2">
      <c r="A4" s="805"/>
      <c r="B4" s="805"/>
      <c r="C4" s="805"/>
      <c r="D4" s="22" t="s">
        <v>274</v>
      </c>
      <c r="E4" s="22" t="s">
        <v>74</v>
      </c>
      <c r="F4" s="22" t="s">
        <v>275</v>
      </c>
      <c r="G4" s="805"/>
    </row>
    <row r="5" spans="1:7" ht="45" customHeight="1" x14ac:dyDescent="0.35">
      <c r="A5" s="23">
        <v>1</v>
      </c>
      <c r="B5" s="24" t="s">
        <v>276</v>
      </c>
      <c r="C5" s="25">
        <v>250000</v>
      </c>
      <c r="D5" s="26">
        <f>12161.29+13000+13000+13000+13000+13000+12133.33+13000+13000+13000+13000</f>
        <v>141294.62</v>
      </c>
      <c r="E5" s="27">
        <f>D5*100/C5</f>
        <v>56.517848000000001</v>
      </c>
      <c r="F5" s="28">
        <f>C5-D5</f>
        <v>108705.38</v>
      </c>
      <c r="G5" s="29" t="s">
        <v>277</v>
      </c>
    </row>
    <row r="6" spans="1:7" ht="21" x14ac:dyDescent="0.35">
      <c r="A6" s="30"/>
      <c r="B6" s="30" t="s">
        <v>112</v>
      </c>
      <c r="C6" s="31">
        <f>C5</f>
        <v>250000</v>
      </c>
      <c r="D6" s="31">
        <f>D5</f>
        <v>141294.62</v>
      </c>
      <c r="E6" s="32">
        <f>E5</f>
        <v>56.517848000000001</v>
      </c>
      <c r="F6" s="31">
        <f>F5</f>
        <v>108705.38</v>
      </c>
      <c r="G6" s="33"/>
    </row>
    <row r="8" spans="1:7" x14ac:dyDescent="0.2">
      <c r="F8">
        <v>95705.38</v>
      </c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90" zoomScaleNormal="90" workbookViewId="0">
      <selection activeCell="L6" sqref="L6"/>
    </sheetView>
  </sheetViews>
  <sheetFormatPr defaultRowHeight="14.25" x14ac:dyDescent="0.2"/>
  <cols>
    <col min="1" max="1" width="45.75" style="1" customWidth="1"/>
    <col min="2" max="2" width="12.125" style="1" customWidth="1"/>
    <col min="3" max="3" width="11.375" style="1" customWidth="1"/>
    <col min="4" max="5" width="12.5" style="1" customWidth="1"/>
    <col min="6" max="6" width="9" style="1" customWidth="1"/>
    <col min="7" max="7" width="9.125" style="1" customWidth="1"/>
    <col min="8" max="8" width="15.5" style="1" customWidth="1"/>
    <col min="9" max="16384" width="9" style="1"/>
  </cols>
  <sheetData>
    <row r="1" spans="1:8" ht="23.25" x14ac:dyDescent="0.35">
      <c r="A1" s="806" t="s">
        <v>186</v>
      </c>
      <c r="B1" s="806"/>
      <c r="C1" s="806"/>
      <c r="D1" s="806"/>
      <c r="E1" s="806"/>
      <c r="F1" s="806"/>
      <c r="G1" s="806"/>
      <c r="H1" s="806"/>
    </row>
    <row r="2" spans="1:8" ht="23.25" customHeight="1" x14ac:dyDescent="0.2">
      <c r="A2" s="771" t="s">
        <v>966</v>
      </c>
      <c r="B2" s="771"/>
      <c r="C2" s="771"/>
      <c r="D2" s="771"/>
      <c r="E2" s="771"/>
      <c r="F2" s="771"/>
      <c r="G2" s="771"/>
      <c r="H2" s="771"/>
    </row>
    <row r="3" spans="1:8" ht="23.25" customHeight="1" x14ac:dyDescent="0.2">
      <c r="A3" s="771" t="s">
        <v>967</v>
      </c>
      <c r="B3" s="771"/>
      <c r="C3" s="771"/>
      <c r="D3" s="771"/>
      <c r="E3" s="771"/>
      <c r="F3" s="771"/>
      <c r="G3" s="771"/>
      <c r="H3" s="771"/>
    </row>
    <row r="4" spans="1:8" ht="17.25" hidden="1" customHeight="1" x14ac:dyDescent="0.2">
      <c r="A4" s="772"/>
      <c r="B4" s="772"/>
      <c r="C4" s="772"/>
      <c r="D4" s="772"/>
      <c r="E4" s="772"/>
      <c r="F4" s="772"/>
      <c r="G4" s="772"/>
      <c r="H4" s="772"/>
    </row>
    <row r="5" spans="1:8" ht="23.25" x14ac:dyDescent="0.2">
      <c r="A5" s="771" t="s">
        <v>968</v>
      </c>
      <c r="B5" s="771"/>
      <c r="C5" s="771"/>
      <c r="D5" s="771"/>
      <c r="E5" s="771"/>
      <c r="F5" s="771"/>
      <c r="G5" s="771"/>
      <c r="H5" s="771"/>
    </row>
    <row r="6" spans="1:8" ht="23.25" x14ac:dyDescent="0.35">
      <c r="A6" s="807" t="s">
        <v>969</v>
      </c>
      <c r="B6" s="807"/>
      <c r="C6" s="807"/>
      <c r="D6" s="807"/>
      <c r="E6" s="807"/>
      <c r="F6" s="807"/>
      <c r="G6" s="807"/>
      <c r="H6" s="807"/>
    </row>
    <row r="7" spans="1:8" ht="19.5" customHeight="1" x14ac:dyDescent="0.2">
      <c r="A7" s="627"/>
      <c r="B7" s="627"/>
      <c r="C7" s="627"/>
      <c r="D7" s="627"/>
      <c r="E7" s="627"/>
      <c r="F7" s="627"/>
      <c r="G7" s="627"/>
      <c r="H7" s="626"/>
    </row>
    <row r="8" spans="1:8" ht="33" customHeight="1" x14ac:dyDescent="0.2">
      <c r="A8" s="622" t="s">
        <v>712</v>
      </c>
      <c r="B8" s="773" t="s">
        <v>273</v>
      </c>
      <c r="C8" s="773"/>
      <c r="D8" s="773"/>
      <c r="E8" s="773"/>
      <c r="F8" s="773" t="s">
        <v>190</v>
      </c>
      <c r="G8" s="773"/>
      <c r="H8" s="808" t="s">
        <v>965</v>
      </c>
    </row>
    <row r="9" spans="1:8" ht="63" x14ac:dyDescent="0.2">
      <c r="A9" s="622" t="s">
        <v>970</v>
      </c>
      <c r="B9" s="622" t="s">
        <v>959</v>
      </c>
      <c r="C9" s="622" t="s">
        <v>960</v>
      </c>
      <c r="D9" s="622" t="s">
        <v>961</v>
      </c>
      <c r="E9" s="622" t="s">
        <v>962</v>
      </c>
      <c r="F9" s="622" t="s">
        <v>963</v>
      </c>
      <c r="G9" s="622" t="s">
        <v>964</v>
      </c>
      <c r="H9" s="808"/>
    </row>
    <row r="10" spans="1:8" ht="42.75" customHeight="1" x14ac:dyDescent="0.2">
      <c r="A10" s="639" t="s">
        <v>2</v>
      </c>
      <c r="B10" s="632"/>
      <c r="C10" s="632"/>
      <c r="D10" s="632"/>
      <c r="E10" s="628"/>
      <c r="F10" s="629"/>
      <c r="G10" s="630"/>
      <c r="H10" s="631"/>
    </row>
    <row r="11" spans="1:8" ht="27" customHeight="1" x14ac:dyDescent="0.2">
      <c r="A11" s="96" t="s">
        <v>971</v>
      </c>
      <c r="B11" s="622">
        <v>88106200</v>
      </c>
      <c r="C11" s="57"/>
      <c r="D11" s="57"/>
      <c r="E11" s="57"/>
      <c r="F11" s="623"/>
      <c r="G11" s="62"/>
      <c r="H11" s="61"/>
    </row>
    <row r="12" spans="1:8" ht="30" customHeight="1" x14ac:dyDescent="0.2">
      <c r="A12" s="625" t="s">
        <v>200</v>
      </c>
      <c r="B12" s="622">
        <v>17125000</v>
      </c>
      <c r="C12" s="57"/>
      <c r="D12" s="57"/>
      <c r="E12" s="57"/>
      <c r="F12" s="16"/>
      <c r="G12" s="111"/>
      <c r="H12" s="74"/>
    </row>
    <row r="13" spans="1:8" ht="44.25" customHeight="1" x14ac:dyDescent="0.2">
      <c r="A13" s="625" t="s">
        <v>977</v>
      </c>
      <c r="B13" s="622">
        <v>6325500</v>
      </c>
      <c r="C13" s="57"/>
      <c r="D13" s="82"/>
      <c r="E13" s="82"/>
      <c r="F13" s="83"/>
      <c r="G13" s="112"/>
      <c r="H13" s="75"/>
    </row>
    <row r="14" spans="1:8" ht="28.5" customHeight="1" x14ac:dyDescent="0.2">
      <c r="A14" s="625" t="s">
        <v>207</v>
      </c>
      <c r="B14" s="640">
        <v>42235000</v>
      </c>
      <c r="C14" s="57"/>
      <c r="D14" s="57"/>
      <c r="E14" s="57"/>
      <c r="F14" s="16"/>
      <c r="G14" s="112"/>
      <c r="H14" s="70"/>
    </row>
    <row r="15" spans="1:8" ht="44.25" customHeight="1" x14ac:dyDescent="0.2">
      <c r="A15" s="625" t="s">
        <v>976</v>
      </c>
      <c r="B15" s="622">
        <v>370500</v>
      </c>
      <c r="C15" s="57"/>
      <c r="D15" s="57"/>
      <c r="E15" s="57"/>
      <c r="F15" s="16"/>
      <c r="G15" s="112"/>
      <c r="H15" s="15"/>
    </row>
    <row r="16" spans="1:8" ht="27" customHeight="1" x14ac:dyDescent="0.2">
      <c r="A16" s="625" t="s">
        <v>212</v>
      </c>
      <c r="B16" s="622">
        <v>4748300</v>
      </c>
      <c r="C16" s="57"/>
      <c r="D16" s="57"/>
      <c r="E16" s="57"/>
      <c r="F16" s="16"/>
      <c r="G16" s="112"/>
      <c r="H16" s="75"/>
    </row>
    <row r="17" spans="1:8" ht="30" customHeight="1" x14ac:dyDescent="0.2">
      <c r="A17" s="622" t="s">
        <v>112</v>
      </c>
      <c r="B17" s="622">
        <f>B11+B12+B13+B14+B15+B16</f>
        <v>158910500</v>
      </c>
      <c r="C17" s="57">
        <f>C11+C12+C13+C14+C15+C16</f>
        <v>0</v>
      </c>
      <c r="D17" s="57"/>
      <c r="E17" s="63"/>
      <c r="F17" s="633"/>
      <c r="G17" s="622"/>
      <c r="H17" s="634"/>
    </row>
    <row r="18" spans="1:8" ht="46.5" customHeight="1" x14ac:dyDescent="0.2">
      <c r="A18" s="639" t="s">
        <v>975</v>
      </c>
      <c r="B18" s="641"/>
      <c r="C18" s="632"/>
      <c r="D18" s="632"/>
      <c r="E18" s="628"/>
      <c r="F18" s="635"/>
      <c r="G18" s="636"/>
      <c r="H18" s="637"/>
    </row>
    <row r="19" spans="1:8" ht="41.25" customHeight="1" x14ac:dyDescent="0.2">
      <c r="A19" s="96" t="s">
        <v>972</v>
      </c>
      <c r="B19" s="622">
        <v>7847300</v>
      </c>
      <c r="C19" s="57"/>
      <c r="D19" s="57"/>
      <c r="E19" s="57"/>
      <c r="F19" s="16"/>
      <c r="G19" s="112"/>
      <c r="H19" s="89"/>
    </row>
    <row r="20" spans="1:8" ht="34.5" customHeight="1" x14ac:dyDescent="0.2">
      <c r="A20" s="622" t="s">
        <v>112</v>
      </c>
      <c r="B20" s="622">
        <f>B19</f>
        <v>7847300</v>
      </c>
      <c r="C20" s="57">
        <f>C19</f>
        <v>0</v>
      </c>
      <c r="D20" s="63"/>
      <c r="E20" s="63"/>
      <c r="F20" s="633"/>
      <c r="G20" s="622"/>
      <c r="H20" s="634"/>
    </row>
    <row r="21" spans="1:8" ht="42.75" customHeight="1" x14ac:dyDescent="0.2">
      <c r="A21" s="639" t="s">
        <v>51</v>
      </c>
      <c r="B21" s="641"/>
      <c r="C21" s="632"/>
      <c r="D21" s="632"/>
      <c r="E21" s="628"/>
      <c r="F21" s="635"/>
      <c r="G21" s="636"/>
      <c r="H21" s="637"/>
    </row>
    <row r="22" spans="1:8" ht="30" customHeight="1" x14ac:dyDescent="0.2">
      <c r="A22" s="96" t="s">
        <v>973</v>
      </c>
      <c r="B22" s="622">
        <v>5765300</v>
      </c>
      <c r="C22" s="57"/>
      <c r="D22" s="57"/>
      <c r="E22" s="57"/>
      <c r="F22" s="16"/>
      <c r="G22" s="112"/>
      <c r="H22" s="89"/>
    </row>
    <row r="23" spans="1:8" ht="30" customHeight="1" x14ac:dyDescent="0.2">
      <c r="A23" s="622" t="s">
        <v>112</v>
      </c>
      <c r="B23" s="622">
        <f>B22</f>
        <v>5765300</v>
      </c>
      <c r="C23" s="57">
        <f>C22</f>
        <v>0</v>
      </c>
      <c r="D23" s="63"/>
      <c r="E23" s="63"/>
      <c r="F23" s="633"/>
      <c r="G23" s="622"/>
      <c r="H23" s="634"/>
    </row>
    <row r="24" spans="1:8" ht="51.75" customHeight="1" x14ac:dyDescent="0.2">
      <c r="A24" s="639" t="s">
        <v>978</v>
      </c>
      <c r="B24" s="641"/>
      <c r="C24" s="632"/>
      <c r="D24" s="632"/>
      <c r="E24" s="628"/>
      <c r="F24" s="635"/>
      <c r="G24" s="636"/>
      <c r="H24" s="638"/>
    </row>
    <row r="25" spans="1:8" ht="27" customHeight="1" x14ac:dyDescent="0.2">
      <c r="A25" s="96" t="s">
        <v>974</v>
      </c>
      <c r="B25" s="622">
        <v>5475300</v>
      </c>
      <c r="C25" s="57"/>
      <c r="D25" s="57"/>
      <c r="E25" s="57"/>
      <c r="F25" s="16"/>
      <c r="G25" s="112"/>
      <c r="H25" s="15"/>
    </row>
    <row r="26" spans="1:8" ht="33.75" customHeight="1" x14ac:dyDescent="0.2">
      <c r="A26" s="622" t="s">
        <v>112</v>
      </c>
      <c r="B26" s="622">
        <f>B25</f>
        <v>5475300</v>
      </c>
      <c r="C26" s="57">
        <f>C25</f>
        <v>0</v>
      </c>
      <c r="D26" s="63"/>
      <c r="E26" s="63"/>
      <c r="F26" s="633"/>
      <c r="G26" s="622"/>
      <c r="H26" s="634"/>
    </row>
    <row r="27" spans="1:8" ht="39" customHeight="1" x14ac:dyDescent="0.2">
      <c r="A27" s="96" t="s">
        <v>70</v>
      </c>
      <c r="B27" s="622">
        <v>8000000</v>
      </c>
      <c r="C27" s="622"/>
      <c r="D27" s="58"/>
      <c r="E27" s="58"/>
      <c r="F27" s="97"/>
      <c r="G27" s="113"/>
      <c r="H27" s="11"/>
    </row>
    <row r="28" spans="1:8" ht="21" x14ac:dyDescent="0.35">
      <c r="A28" s="624" t="s">
        <v>112</v>
      </c>
      <c r="B28" s="642">
        <f>B17+B20+B23+B26+B27</f>
        <v>185998400</v>
      </c>
      <c r="C28" s="99">
        <f>C17+C20+C23+C26+C27</f>
        <v>0</v>
      </c>
      <c r="D28" s="99"/>
      <c r="E28" s="99"/>
      <c r="F28" s="100"/>
      <c r="G28" s="624"/>
      <c r="H28" s="40"/>
    </row>
  </sheetData>
  <mergeCells count="9">
    <mergeCell ref="B8:E8"/>
    <mergeCell ref="F8:G8"/>
    <mergeCell ref="A2:H2"/>
    <mergeCell ref="A3:H3"/>
    <mergeCell ref="A1:H1"/>
    <mergeCell ref="A5:H5"/>
    <mergeCell ref="A6:H6"/>
    <mergeCell ref="H8:H9"/>
    <mergeCell ref="A4:H4"/>
  </mergeCells>
  <pageMargins left="0.56000000000000005" right="0.19685039370078741" top="0.45" bottom="0.21" header="0.19685039370078741" footer="0.19685039370078741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3"/>
  <sheetViews>
    <sheetView view="pageBreakPreview" zoomScale="60" zoomScaleNormal="100" workbookViewId="0">
      <selection activeCell="K8" sqref="K8"/>
    </sheetView>
  </sheetViews>
  <sheetFormatPr defaultRowHeight="14.25" x14ac:dyDescent="0.2"/>
  <cols>
    <col min="1" max="1" width="3.625" customWidth="1"/>
    <col min="2" max="2" width="37.25" customWidth="1"/>
    <col min="3" max="3" width="10.375" customWidth="1"/>
    <col min="4" max="4" width="11" style="1" customWidth="1"/>
    <col min="5" max="5" width="10.75" style="1" customWidth="1"/>
    <col min="6" max="6" width="10.375" style="1" customWidth="1"/>
    <col min="7" max="7" width="14" style="1" customWidth="1"/>
    <col min="8" max="8" width="12.125" style="1" customWidth="1"/>
    <col min="9" max="9" width="7.75" style="1" customWidth="1"/>
    <col min="10" max="10" width="12.125" customWidth="1"/>
    <col min="11" max="11" width="17.75" customWidth="1"/>
  </cols>
  <sheetData>
    <row r="1" spans="1:11" ht="21" x14ac:dyDescent="0.3">
      <c r="A1" s="818" t="s">
        <v>354</v>
      </c>
      <c r="B1" s="818"/>
      <c r="C1" s="818"/>
      <c r="D1" s="818"/>
      <c r="E1" s="818"/>
      <c r="F1" s="818"/>
      <c r="G1" s="818"/>
      <c r="H1" s="818"/>
      <c r="I1" s="818"/>
      <c r="J1" s="818"/>
      <c r="K1" s="126"/>
    </row>
    <row r="2" spans="1:11" ht="21" x14ac:dyDescent="0.3">
      <c r="A2" s="819" t="s">
        <v>355</v>
      </c>
      <c r="B2" s="819"/>
      <c r="C2" s="819"/>
      <c r="D2" s="819"/>
      <c r="E2" s="819"/>
      <c r="F2" s="819"/>
      <c r="G2" s="819"/>
      <c r="H2" s="819"/>
      <c r="I2" s="819"/>
      <c r="J2" s="819"/>
      <c r="K2" s="126"/>
    </row>
    <row r="3" spans="1:11" ht="21" x14ac:dyDescent="0.3">
      <c r="A3" s="818" t="s">
        <v>356</v>
      </c>
      <c r="B3" s="818"/>
      <c r="C3" s="818"/>
      <c r="D3" s="818"/>
      <c r="E3" s="818"/>
      <c r="F3" s="818"/>
      <c r="G3" s="818"/>
      <c r="H3" s="818"/>
      <c r="I3" s="818"/>
      <c r="J3" s="818"/>
      <c r="K3" s="126"/>
    </row>
    <row r="4" spans="1:11" ht="21" x14ac:dyDescent="0.35">
      <c r="A4" s="127"/>
      <c r="B4" s="127"/>
      <c r="C4" s="127"/>
      <c r="D4" s="820"/>
      <c r="E4" s="820"/>
      <c r="F4" s="820"/>
      <c r="G4" s="820"/>
      <c r="H4" s="820"/>
      <c r="I4" s="820"/>
      <c r="J4" s="820"/>
      <c r="K4" s="126"/>
    </row>
    <row r="5" spans="1:11" ht="59.25" customHeight="1" x14ac:dyDescent="0.3">
      <c r="A5" s="814" t="s">
        <v>76</v>
      </c>
      <c r="B5" s="814" t="s">
        <v>357</v>
      </c>
      <c r="C5" s="816" t="s">
        <v>358</v>
      </c>
      <c r="D5" s="823" t="s">
        <v>71</v>
      </c>
      <c r="E5" s="823" t="s">
        <v>371</v>
      </c>
      <c r="F5" s="823" t="s">
        <v>185</v>
      </c>
      <c r="G5" s="811" t="s">
        <v>376</v>
      </c>
      <c r="H5" s="812"/>
      <c r="I5" s="813"/>
      <c r="J5" s="823" t="s">
        <v>359</v>
      </c>
      <c r="K5" s="126"/>
    </row>
    <row r="6" spans="1:11" s="1" customFormat="1" ht="18.75" customHeight="1" x14ac:dyDescent="0.3">
      <c r="A6" s="815"/>
      <c r="B6" s="815"/>
      <c r="C6" s="817"/>
      <c r="D6" s="824"/>
      <c r="E6" s="824"/>
      <c r="F6" s="824"/>
      <c r="G6" s="128" t="s">
        <v>375</v>
      </c>
      <c r="H6" s="128" t="s">
        <v>284</v>
      </c>
      <c r="I6" s="128" t="s">
        <v>74</v>
      </c>
      <c r="J6" s="824"/>
      <c r="K6" s="126"/>
    </row>
    <row r="7" spans="1:11" ht="65.25" customHeight="1" x14ac:dyDescent="0.3">
      <c r="A7" s="821">
        <v>1</v>
      </c>
      <c r="B7" s="129" t="s">
        <v>360</v>
      </c>
      <c r="C7" s="130">
        <v>2000000</v>
      </c>
      <c r="D7" s="141"/>
      <c r="E7" s="141"/>
      <c r="F7" s="131"/>
      <c r="G7" s="143">
        <f>G8+G11+G12+G9+G10+G13</f>
        <v>1976552.47</v>
      </c>
      <c r="H7" s="143">
        <f>H9+H10+H12+H13</f>
        <v>23447.530000000028</v>
      </c>
      <c r="I7" s="143">
        <v>100</v>
      </c>
      <c r="J7" s="132"/>
      <c r="K7" s="126"/>
    </row>
    <row r="8" spans="1:11" ht="50.25" customHeight="1" x14ac:dyDescent="0.3">
      <c r="A8" s="822"/>
      <c r="B8" s="133" t="s">
        <v>361</v>
      </c>
      <c r="C8" s="134">
        <v>279000</v>
      </c>
      <c r="D8" s="151" t="s">
        <v>392</v>
      </c>
      <c r="E8" s="142" t="s">
        <v>393</v>
      </c>
      <c r="F8" s="134">
        <v>279000</v>
      </c>
      <c r="G8" s="219">
        <v>279000</v>
      </c>
      <c r="H8" s="219">
        <f t="shared" ref="H8:H12" si="0">C8-G8</f>
        <v>0</v>
      </c>
      <c r="I8" s="223">
        <f t="shared" ref="I8:I13" si="1">G8*100/C8</f>
        <v>100</v>
      </c>
      <c r="J8" s="140" t="s">
        <v>362</v>
      </c>
      <c r="K8" s="126"/>
    </row>
    <row r="9" spans="1:11" ht="64.5" customHeight="1" x14ac:dyDescent="0.3">
      <c r="A9" s="135"/>
      <c r="B9" s="133" t="s">
        <v>363</v>
      </c>
      <c r="C9" s="134">
        <v>349000</v>
      </c>
      <c r="D9" s="142" t="s">
        <v>391</v>
      </c>
      <c r="E9" s="142" t="s">
        <v>390</v>
      </c>
      <c r="F9" s="134">
        <v>349000</v>
      </c>
      <c r="G9" s="656">
        <v>327552.46999999997</v>
      </c>
      <c r="H9" s="219">
        <f>F9-G9</f>
        <v>21447.530000000028</v>
      </c>
      <c r="I9" s="223">
        <v>100</v>
      </c>
      <c r="J9" s="140" t="s">
        <v>364</v>
      </c>
      <c r="K9" s="126"/>
    </row>
    <row r="10" spans="1:11" ht="65.25" customHeight="1" x14ac:dyDescent="0.3">
      <c r="A10" s="135"/>
      <c r="B10" s="133" t="s">
        <v>372</v>
      </c>
      <c r="C10" s="134">
        <v>498000</v>
      </c>
      <c r="D10" s="142" t="s">
        <v>389</v>
      </c>
      <c r="E10" s="142" t="s">
        <v>388</v>
      </c>
      <c r="F10" s="134">
        <v>498000</v>
      </c>
      <c r="G10" s="656">
        <v>498000</v>
      </c>
      <c r="H10" s="219">
        <f>F10-G10</f>
        <v>0</v>
      </c>
      <c r="I10" s="223">
        <f>G10*100/F10</f>
        <v>100</v>
      </c>
      <c r="J10" s="140" t="s">
        <v>365</v>
      </c>
      <c r="K10" s="126"/>
    </row>
    <row r="11" spans="1:11" ht="68.25" customHeight="1" x14ac:dyDescent="0.3">
      <c r="A11" s="135"/>
      <c r="B11" s="133" t="s">
        <v>366</v>
      </c>
      <c r="C11" s="134">
        <v>200000</v>
      </c>
      <c r="D11" s="151" t="s">
        <v>378</v>
      </c>
      <c r="E11" s="142" t="s">
        <v>377</v>
      </c>
      <c r="F11" s="134">
        <v>200000</v>
      </c>
      <c r="G11" s="219">
        <v>200000</v>
      </c>
      <c r="H11" s="219">
        <f t="shared" si="0"/>
        <v>0</v>
      </c>
      <c r="I11" s="219">
        <f t="shared" si="1"/>
        <v>100</v>
      </c>
      <c r="J11" s="140" t="s">
        <v>367</v>
      </c>
      <c r="K11" s="126"/>
    </row>
    <row r="12" spans="1:11" ht="46.5" customHeight="1" x14ac:dyDescent="0.3">
      <c r="A12" s="135"/>
      <c r="B12" s="133" t="s">
        <v>368</v>
      </c>
      <c r="C12" s="134">
        <v>295000</v>
      </c>
      <c r="D12" s="151" t="s">
        <v>373</v>
      </c>
      <c r="E12" s="142" t="s">
        <v>374</v>
      </c>
      <c r="F12" s="134">
        <v>293000</v>
      </c>
      <c r="G12" s="219">
        <v>293000</v>
      </c>
      <c r="H12" s="219">
        <f t="shared" si="0"/>
        <v>2000</v>
      </c>
      <c r="I12" s="219">
        <v>100</v>
      </c>
      <c r="J12" s="140" t="s">
        <v>369</v>
      </c>
      <c r="K12" s="136"/>
    </row>
    <row r="13" spans="1:11" ht="47.25" x14ac:dyDescent="0.3">
      <c r="A13" s="135"/>
      <c r="B13" s="133" t="s">
        <v>553</v>
      </c>
      <c r="C13" s="134">
        <v>379000</v>
      </c>
      <c r="D13" s="142" t="s">
        <v>541</v>
      </c>
      <c r="E13" s="142" t="s">
        <v>542</v>
      </c>
      <c r="F13" s="134">
        <v>379000</v>
      </c>
      <c r="G13" s="656">
        <v>379000</v>
      </c>
      <c r="H13" s="219">
        <f>F13-G13</f>
        <v>0</v>
      </c>
      <c r="I13" s="219">
        <f t="shared" si="1"/>
        <v>100</v>
      </c>
      <c r="J13" s="140" t="s">
        <v>370</v>
      </c>
      <c r="K13" s="126"/>
    </row>
    <row r="14" spans="1:11" ht="21" x14ac:dyDescent="0.35">
      <c r="A14" s="809" t="s">
        <v>112</v>
      </c>
      <c r="B14" s="810"/>
      <c r="C14" s="137">
        <f>C8+C9+C10+C11+C12+C13</f>
        <v>2000000</v>
      </c>
      <c r="D14" s="137"/>
      <c r="E14" s="137"/>
      <c r="F14" s="144">
        <f>F8+F9+F10+F11+F12+F13</f>
        <v>1998000</v>
      </c>
      <c r="G14" s="657">
        <f>G8+G11+G12+G9+G10+G13</f>
        <v>1976552.47</v>
      </c>
      <c r="H14" s="657">
        <f>H10+H12+H9+H13</f>
        <v>23447.530000000028</v>
      </c>
      <c r="I14" s="145">
        <v>100</v>
      </c>
      <c r="J14" s="138"/>
      <c r="K14" s="126"/>
    </row>
    <row r="15" spans="1:11" ht="18.75" x14ac:dyDescent="0.3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26"/>
    </row>
    <row r="23" spans="7:7" customFormat="1" x14ac:dyDescent="0.2">
      <c r="G23" s="139"/>
    </row>
  </sheetData>
  <mergeCells count="14">
    <mergeCell ref="A1:J1"/>
    <mergeCell ref="A2:J2"/>
    <mergeCell ref="A3:J3"/>
    <mergeCell ref="D4:J4"/>
    <mergeCell ref="A7:A8"/>
    <mergeCell ref="F5:F6"/>
    <mergeCell ref="D5:D6"/>
    <mergeCell ref="E5:E6"/>
    <mergeCell ref="J5:J6"/>
    <mergeCell ref="A14:B14"/>
    <mergeCell ref="G5:I5"/>
    <mergeCell ref="A5:A6"/>
    <mergeCell ref="B5:B6"/>
    <mergeCell ref="C5:C6"/>
  </mergeCells>
  <pageMargins left="0.19685039370078741" right="0.19685039370078741" top="0.31496062992125984" bottom="0.31496062992125984" header="0.31496062992125984" footer="0.31496062992125984"/>
  <pageSetup paperSize="9" scale="7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4" workbookViewId="0">
      <selection activeCell="L7" sqref="L7"/>
    </sheetView>
  </sheetViews>
  <sheetFormatPr defaultRowHeight="14.25" x14ac:dyDescent="0.2"/>
  <cols>
    <col min="1" max="1" width="3" style="1" customWidth="1"/>
    <col min="2" max="2" width="37.625" style="1" customWidth="1"/>
    <col min="3" max="3" width="12.25" style="1" customWidth="1"/>
    <col min="4" max="4" width="12.625" style="1" customWidth="1"/>
    <col min="5" max="5" width="12.125" style="1" customWidth="1"/>
    <col min="6" max="6" width="9.875" style="1" customWidth="1"/>
    <col min="7" max="7" width="9.5" style="1" customWidth="1"/>
    <col min="8" max="8" width="10.375" style="1" customWidth="1"/>
    <col min="9" max="9" width="14.375" style="1" customWidth="1"/>
    <col min="10" max="16384" width="9" style="1"/>
  </cols>
  <sheetData>
    <row r="1" spans="1:10" ht="21" customHeight="1" x14ac:dyDescent="0.35">
      <c r="A1" s="806" t="s">
        <v>139</v>
      </c>
      <c r="B1" s="806"/>
      <c r="C1" s="806"/>
      <c r="D1" s="806"/>
      <c r="E1" s="806"/>
      <c r="F1" s="806"/>
      <c r="G1" s="806"/>
      <c r="H1" s="806"/>
      <c r="I1" s="806"/>
    </row>
    <row r="2" spans="1:10" ht="18" customHeight="1" x14ac:dyDescent="0.35">
      <c r="A2" s="806" t="s">
        <v>75</v>
      </c>
      <c r="B2" s="806"/>
      <c r="C2" s="806"/>
      <c r="D2" s="806"/>
      <c r="E2" s="806"/>
      <c r="F2" s="806"/>
      <c r="G2" s="806"/>
      <c r="H2" s="806"/>
      <c r="I2" s="806"/>
    </row>
    <row r="3" spans="1:10" ht="22.5" customHeight="1" x14ac:dyDescent="0.35">
      <c r="A3" s="806" t="s">
        <v>113</v>
      </c>
      <c r="B3" s="806"/>
      <c r="C3" s="806"/>
      <c r="D3" s="806"/>
      <c r="E3" s="806"/>
      <c r="F3" s="806"/>
      <c r="G3" s="806"/>
      <c r="H3" s="806"/>
      <c r="I3" s="806"/>
    </row>
    <row r="4" spans="1:10" ht="21" customHeight="1" x14ac:dyDescent="0.2">
      <c r="H4" s="825" t="s">
        <v>547</v>
      </c>
      <c r="I4" s="825"/>
      <c r="J4" s="825"/>
    </row>
    <row r="5" spans="1:10" ht="19.5" customHeight="1" x14ac:dyDescent="0.2">
      <c r="A5" s="783" t="s">
        <v>76</v>
      </c>
      <c r="B5" s="783" t="s">
        <v>77</v>
      </c>
      <c r="C5" s="783" t="s">
        <v>78</v>
      </c>
      <c r="D5" s="783"/>
      <c r="E5" s="783"/>
      <c r="F5" s="785" t="s">
        <v>186</v>
      </c>
      <c r="G5" s="786"/>
      <c r="H5" s="786"/>
      <c r="I5" s="784" t="s">
        <v>79</v>
      </c>
      <c r="J5" s="826" t="s">
        <v>386</v>
      </c>
    </row>
    <row r="6" spans="1:10" ht="40.5" customHeight="1" x14ac:dyDescent="0.2">
      <c r="A6" s="783"/>
      <c r="B6" s="783"/>
      <c r="C6" s="36" t="s">
        <v>112</v>
      </c>
      <c r="D6" s="37" t="s">
        <v>80</v>
      </c>
      <c r="E6" s="37" t="s">
        <v>81</v>
      </c>
      <c r="F6" s="147" t="s">
        <v>190</v>
      </c>
      <c r="G6" s="146" t="s">
        <v>71</v>
      </c>
      <c r="H6" s="147" t="s">
        <v>245</v>
      </c>
      <c r="I6" s="784"/>
      <c r="J6" s="827"/>
    </row>
    <row r="7" spans="1:10" ht="21" customHeight="1" x14ac:dyDescent="0.3">
      <c r="A7" s="146"/>
      <c r="B7" s="146" t="s">
        <v>140</v>
      </c>
      <c r="C7" s="38">
        <f>D7+E7</f>
        <v>93962000</v>
      </c>
      <c r="D7" s="39">
        <f>D8+D38+D47</f>
        <v>74923700</v>
      </c>
      <c r="E7" s="39">
        <f>E8+E38+E47</f>
        <v>19038300</v>
      </c>
      <c r="F7" s="39"/>
      <c r="G7" s="40"/>
      <c r="H7" s="40"/>
      <c r="I7" s="41"/>
      <c r="J7" s="149"/>
    </row>
    <row r="8" spans="1:10" ht="39" customHeight="1" x14ac:dyDescent="0.3">
      <c r="A8" s="42"/>
      <c r="B8" s="43" t="s">
        <v>83</v>
      </c>
      <c r="C8" s="39">
        <f>C9+C34+C36</f>
        <v>38467300</v>
      </c>
      <c r="D8" s="39">
        <f t="shared" ref="D8:E8" si="0">D9+D34+D36</f>
        <v>27829000</v>
      </c>
      <c r="E8" s="39">
        <f t="shared" si="0"/>
        <v>10638300</v>
      </c>
      <c r="F8" s="49" t="s">
        <v>249</v>
      </c>
      <c r="G8" s="44"/>
      <c r="H8" s="44"/>
      <c r="I8" s="42"/>
      <c r="J8" s="149"/>
    </row>
    <row r="9" spans="1:10" ht="39.75" customHeight="1" x14ac:dyDescent="0.3">
      <c r="A9" s="45">
        <v>1</v>
      </c>
      <c r="B9" s="46" t="s">
        <v>84</v>
      </c>
      <c r="C9" s="39">
        <f>C10+C26+C27+C28+C32+C33</f>
        <v>11567300</v>
      </c>
      <c r="D9" s="39">
        <f t="shared" ref="D9:E9" si="1">D10+D26+D27+D28+D32+D33</f>
        <v>929000</v>
      </c>
      <c r="E9" s="39">
        <f t="shared" si="1"/>
        <v>10638300</v>
      </c>
      <c r="F9" s="47"/>
      <c r="G9" s="44"/>
      <c r="H9" s="44"/>
      <c r="I9" s="9" t="s">
        <v>137</v>
      </c>
      <c r="J9" s="149"/>
    </row>
    <row r="10" spans="1:10" ht="25.5" customHeight="1" x14ac:dyDescent="0.3">
      <c r="A10" s="21"/>
      <c r="B10" s="8" t="s">
        <v>85</v>
      </c>
      <c r="C10" s="10">
        <f>C11+C14+C21+C25</f>
        <v>4986104</v>
      </c>
      <c r="D10" s="10">
        <f t="shared" ref="D10:E10" si="2">D11+D14+D21+D25</f>
        <v>889000</v>
      </c>
      <c r="E10" s="10">
        <f t="shared" si="2"/>
        <v>4097104</v>
      </c>
      <c r="F10" s="10"/>
      <c r="G10" s="7"/>
      <c r="H10" s="7"/>
      <c r="I10" s="48"/>
      <c r="J10" s="149"/>
    </row>
    <row r="11" spans="1:10" ht="24.75" customHeight="1" x14ac:dyDescent="0.3">
      <c r="A11" s="21"/>
      <c r="B11" s="8" t="s">
        <v>86</v>
      </c>
      <c r="C11" s="10">
        <v>693600</v>
      </c>
      <c r="D11" s="10">
        <v>0</v>
      </c>
      <c r="E11" s="10">
        <v>693600</v>
      </c>
      <c r="F11" s="10"/>
      <c r="G11" s="7"/>
      <c r="H11" s="7"/>
      <c r="I11" s="9" t="s">
        <v>115</v>
      </c>
      <c r="J11" s="149"/>
    </row>
    <row r="12" spans="1:10" ht="39" customHeight="1" x14ac:dyDescent="0.3">
      <c r="A12" s="21"/>
      <c r="B12" s="6" t="s">
        <v>87</v>
      </c>
      <c r="C12" s="10"/>
      <c r="D12" s="10"/>
      <c r="E12" s="10"/>
      <c r="F12" s="10"/>
      <c r="G12" s="7"/>
      <c r="H12" s="7"/>
      <c r="I12" s="48"/>
      <c r="J12" s="149"/>
    </row>
    <row r="13" spans="1:10" ht="37.5" x14ac:dyDescent="0.3">
      <c r="A13" s="21"/>
      <c r="B13" s="6" t="s">
        <v>88</v>
      </c>
      <c r="C13" s="10"/>
      <c r="D13" s="10"/>
      <c r="E13" s="10"/>
      <c r="F13" s="10"/>
      <c r="G13" s="7"/>
      <c r="H13" s="7"/>
      <c r="I13" s="48"/>
      <c r="J13" s="149"/>
    </row>
    <row r="14" spans="1:10" ht="39" customHeight="1" x14ac:dyDescent="0.3">
      <c r="A14" s="21"/>
      <c r="B14" s="6" t="s">
        <v>89</v>
      </c>
      <c r="C14" s="10">
        <f>D14+E14</f>
        <v>3186660</v>
      </c>
      <c r="D14" s="10">
        <f>D16</f>
        <v>790000</v>
      </c>
      <c r="E14" s="10">
        <f>E15</f>
        <v>2396660</v>
      </c>
      <c r="F14" s="10"/>
      <c r="G14" s="7"/>
      <c r="H14" s="7"/>
      <c r="I14" s="9" t="s">
        <v>116</v>
      </c>
      <c r="J14" s="149"/>
    </row>
    <row r="15" spans="1:10" ht="18.75" x14ac:dyDescent="0.3">
      <c r="A15" s="21"/>
      <c r="B15" s="6" t="s">
        <v>134</v>
      </c>
      <c r="C15" s="10"/>
      <c r="D15" s="10"/>
      <c r="E15" s="10">
        <v>2396660</v>
      </c>
      <c r="F15" s="10"/>
      <c r="G15" s="7"/>
      <c r="H15" s="7"/>
      <c r="I15" s="9"/>
      <c r="J15" s="149"/>
    </row>
    <row r="16" spans="1:10" ht="18.75" x14ac:dyDescent="0.3">
      <c r="A16" s="21"/>
      <c r="B16" s="6" t="s">
        <v>136</v>
      </c>
      <c r="C16" s="10"/>
      <c r="D16" s="10">
        <f>D17+D18+D19+D20</f>
        <v>790000</v>
      </c>
      <c r="E16" s="10"/>
      <c r="F16" s="10"/>
      <c r="G16" s="7"/>
      <c r="H16" s="7"/>
      <c r="I16" s="9"/>
      <c r="J16" s="149"/>
    </row>
    <row r="17" spans="1:10" ht="48" x14ac:dyDescent="0.3">
      <c r="A17" s="21"/>
      <c r="B17" s="6" t="s">
        <v>130</v>
      </c>
      <c r="C17" s="10"/>
      <c r="D17" s="10">
        <v>450000</v>
      </c>
      <c r="E17" s="10"/>
      <c r="F17" s="49" t="s">
        <v>353</v>
      </c>
      <c r="G17" s="47" t="s">
        <v>314</v>
      </c>
      <c r="H17" s="110" t="s">
        <v>337</v>
      </c>
      <c r="I17" s="9"/>
      <c r="J17" s="149"/>
    </row>
    <row r="18" spans="1:10" ht="48" x14ac:dyDescent="0.3">
      <c r="A18" s="21"/>
      <c r="B18" s="6" t="s">
        <v>131</v>
      </c>
      <c r="C18" s="10"/>
      <c r="D18" s="10">
        <v>50000</v>
      </c>
      <c r="E18" s="10"/>
      <c r="F18" s="49" t="s">
        <v>353</v>
      </c>
      <c r="G18" s="47" t="s">
        <v>313</v>
      </c>
      <c r="H18" s="110" t="s">
        <v>337</v>
      </c>
      <c r="I18" s="9"/>
      <c r="J18" s="149"/>
    </row>
    <row r="19" spans="1:10" ht="48" x14ac:dyDescent="0.3">
      <c r="A19" s="21"/>
      <c r="B19" s="6" t="s">
        <v>132</v>
      </c>
      <c r="C19" s="10"/>
      <c r="D19" s="10">
        <v>170000</v>
      </c>
      <c r="E19" s="10"/>
      <c r="F19" s="49" t="s">
        <v>353</v>
      </c>
      <c r="G19" s="47" t="s">
        <v>313</v>
      </c>
      <c r="H19" s="110" t="s">
        <v>337</v>
      </c>
      <c r="I19" s="9"/>
      <c r="J19" s="149"/>
    </row>
    <row r="20" spans="1:10" ht="48" x14ac:dyDescent="0.3">
      <c r="A20" s="21"/>
      <c r="B20" s="6" t="s">
        <v>133</v>
      </c>
      <c r="C20" s="10"/>
      <c r="D20" s="10">
        <v>120000</v>
      </c>
      <c r="E20" s="10"/>
      <c r="F20" s="49" t="s">
        <v>353</v>
      </c>
      <c r="G20" s="47" t="s">
        <v>313</v>
      </c>
      <c r="H20" s="110" t="s">
        <v>337</v>
      </c>
      <c r="I20" s="9"/>
      <c r="J20" s="149"/>
    </row>
    <row r="21" spans="1:10" ht="18.75" x14ac:dyDescent="0.3">
      <c r="A21" s="21"/>
      <c r="B21" s="8" t="s">
        <v>90</v>
      </c>
      <c r="C21" s="10">
        <f>D21+E21</f>
        <v>820000</v>
      </c>
      <c r="D21" s="10">
        <f>D23</f>
        <v>99000</v>
      </c>
      <c r="E21" s="10">
        <f>E22</f>
        <v>721000</v>
      </c>
      <c r="F21" s="10"/>
      <c r="G21" s="7"/>
      <c r="H21" s="7"/>
      <c r="I21" s="9" t="s">
        <v>117</v>
      </c>
      <c r="J21" s="149"/>
    </row>
    <row r="22" spans="1:10" ht="18.75" x14ac:dyDescent="0.3">
      <c r="A22" s="21"/>
      <c r="B22" s="6" t="s">
        <v>134</v>
      </c>
      <c r="C22" s="10"/>
      <c r="D22" s="10"/>
      <c r="E22" s="10">
        <v>721000</v>
      </c>
      <c r="F22" s="10"/>
      <c r="G22" s="7"/>
      <c r="H22" s="7"/>
      <c r="I22" s="9"/>
      <c r="J22" s="149"/>
    </row>
    <row r="23" spans="1:10" ht="18.75" x14ac:dyDescent="0.3">
      <c r="A23" s="21"/>
      <c r="B23" s="6" t="s">
        <v>136</v>
      </c>
      <c r="C23" s="10"/>
      <c r="D23" s="10">
        <f>D24</f>
        <v>99000</v>
      </c>
      <c r="E23" s="10"/>
      <c r="F23" s="10"/>
      <c r="G23" s="7"/>
      <c r="H23" s="7"/>
      <c r="I23" s="9"/>
      <c r="J23" s="149"/>
    </row>
    <row r="24" spans="1:10" ht="47.25" x14ac:dyDescent="0.3">
      <c r="A24" s="21"/>
      <c r="B24" s="6" t="s">
        <v>135</v>
      </c>
      <c r="C24" s="10"/>
      <c r="D24" s="10">
        <v>99000</v>
      </c>
      <c r="E24" s="10"/>
      <c r="F24" s="49" t="s">
        <v>353</v>
      </c>
      <c r="G24" s="47" t="s">
        <v>311</v>
      </c>
      <c r="H24" s="49" t="s">
        <v>338</v>
      </c>
      <c r="I24" s="9"/>
      <c r="J24" s="149"/>
    </row>
    <row r="25" spans="1:10" ht="37.5" x14ac:dyDescent="0.3">
      <c r="A25" s="21"/>
      <c r="B25" s="6" t="s">
        <v>91</v>
      </c>
      <c r="C25" s="10">
        <f>E25</f>
        <v>285844</v>
      </c>
      <c r="D25" s="10"/>
      <c r="E25" s="10">
        <v>285844</v>
      </c>
      <c r="F25" s="10"/>
      <c r="G25" s="7"/>
      <c r="H25" s="7"/>
      <c r="I25" s="9" t="s">
        <v>137</v>
      </c>
      <c r="J25" s="149"/>
    </row>
    <row r="26" spans="1:10" ht="18.75" x14ac:dyDescent="0.3">
      <c r="A26" s="21"/>
      <c r="B26" s="8" t="s">
        <v>92</v>
      </c>
      <c r="C26" s="10">
        <f>E26</f>
        <v>200000</v>
      </c>
      <c r="D26" s="10"/>
      <c r="E26" s="10">
        <v>200000</v>
      </c>
      <c r="F26" s="10"/>
      <c r="G26" s="7"/>
      <c r="H26" s="7"/>
      <c r="I26" s="9" t="s">
        <v>141</v>
      </c>
      <c r="J26" s="149"/>
    </row>
    <row r="27" spans="1:10" ht="37.5" x14ac:dyDescent="0.3">
      <c r="A27" s="21"/>
      <c r="B27" s="6" t="s">
        <v>93</v>
      </c>
      <c r="C27" s="10">
        <f>E27</f>
        <v>250000</v>
      </c>
      <c r="D27" s="10"/>
      <c r="E27" s="10">
        <v>250000</v>
      </c>
      <c r="F27" s="10"/>
      <c r="G27" s="7"/>
      <c r="H27" s="7"/>
      <c r="I27" s="9" t="s">
        <v>118</v>
      </c>
      <c r="J27" s="149"/>
    </row>
    <row r="28" spans="1:10" ht="37.5" x14ac:dyDescent="0.3">
      <c r="A28" s="21"/>
      <c r="B28" s="6" t="s">
        <v>94</v>
      </c>
      <c r="C28" s="10">
        <f>D28+E28</f>
        <v>773200</v>
      </c>
      <c r="D28" s="10">
        <f>D30</f>
        <v>40000</v>
      </c>
      <c r="E28" s="10">
        <f>E29</f>
        <v>733200</v>
      </c>
      <c r="F28" s="10"/>
      <c r="G28" s="7"/>
      <c r="H28" s="7"/>
      <c r="I28" s="9" t="s">
        <v>118</v>
      </c>
      <c r="J28" s="149"/>
    </row>
    <row r="29" spans="1:10" ht="18.75" x14ac:dyDescent="0.3">
      <c r="A29" s="21"/>
      <c r="B29" s="6" t="s">
        <v>134</v>
      </c>
      <c r="C29" s="10"/>
      <c r="D29" s="10"/>
      <c r="E29" s="10">
        <v>733200</v>
      </c>
      <c r="F29" s="10"/>
      <c r="G29" s="7"/>
      <c r="H29" s="7"/>
      <c r="I29" s="9"/>
      <c r="J29" s="149"/>
    </row>
    <row r="30" spans="1:10" ht="18.75" x14ac:dyDescent="0.3">
      <c r="A30" s="21"/>
      <c r="B30" s="6" t="s">
        <v>136</v>
      </c>
      <c r="C30" s="10"/>
      <c r="D30" s="10">
        <f>D31</f>
        <v>40000</v>
      </c>
      <c r="E30" s="10"/>
      <c r="F30" s="10"/>
      <c r="G30" s="7"/>
      <c r="H30" s="7"/>
      <c r="I30" s="9"/>
      <c r="J30" s="149"/>
    </row>
    <row r="31" spans="1:10" ht="30.75" customHeight="1" x14ac:dyDescent="0.3">
      <c r="A31" s="21"/>
      <c r="B31" s="6" t="s">
        <v>138</v>
      </c>
      <c r="C31" s="10"/>
      <c r="D31" s="10">
        <v>40000</v>
      </c>
      <c r="E31" s="10"/>
      <c r="F31" s="47" t="s">
        <v>353</v>
      </c>
      <c r="G31" s="109" t="s">
        <v>335</v>
      </c>
      <c r="H31" s="108" t="s">
        <v>336</v>
      </c>
      <c r="I31" s="9"/>
      <c r="J31" s="149"/>
    </row>
    <row r="32" spans="1:10" ht="18.75" x14ac:dyDescent="0.3">
      <c r="A32" s="21"/>
      <c r="B32" s="8" t="s">
        <v>95</v>
      </c>
      <c r="C32" s="10">
        <f>E32</f>
        <v>5246252</v>
      </c>
      <c r="D32" s="10"/>
      <c r="E32" s="10">
        <v>5246252</v>
      </c>
      <c r="F32" s="10"/>
      <c r="G32" s="7"/>
      <c r="H32" s="7"/>
      <c r="I32" s="9" t="s">
        <v>119</v>
      </c>
      <c r="J32" s="149"/>
    </row>
    <row r="33" spans="1:10" ht="18.75" x14ac:dyDescent="0.3">
      <c r="A33" s="21"/>
      <c r="B33" s="8" t="s">
        <v>96</v>
      </c>
      <c r="C33" s="10">
        <f>E33</f>
        <v>111744</v>
      </c>
      <c r="D33" s="10"/>
      <c r="E33" s="10">
        <v>111744</v>
      </c>
      <c r="F33" s="10"/>
      <c r="G33" s="7"/>
      <c r="H33" s="7"/>
      <c r="I33" s="9" t="s">
        <v>118</v>
      </c>
      <c r="J33" s="149"/>
    </row>
    <row r="34" spans="1:10" ht="37.5" x14ac:dyDescent="0.3">
      <c r="A34" s="45">
        <v>2</v>
      </c>
      <c r="B34" s="43" t="s">
        <v>114</v>
      </c>
      <c r="C34" s="39">
        <f>D34</f>
        <v>20000000</v>
      </c>
      <c r="D34" s="39">
        <f>D35</f>
        <v>20000000</v>
      </c>
      <c r="E34" s="39">
        <f>E35</f>
        <v>0</v>
      </c>
      <c r="F34" s="47"/>
      <c r="G34" s="44"/>
      <c r="H34" s="44"/>
      <c r="I34" s="40"/>
      <c r="J34" s="149"/>
    </row>
    <row r="35" spans="1:10" ht="75" x14ac:dyDescent="0.3">
      <c r="A35" s="21"/>
      <c r="B35" s="6" t="s">
        <v>247</v>
      </c>
      <c r="C35" s="10"/>
      <c r="D35" s="10">
        <v>20000000</v>
      </c>
      <c r="E35" s="10">
        <v>0</v>
      </c>
      <c r="F35" s="49" t="s">
        <v>326</v>
      </c>
      <c r="G35" s="106" t="s">
        <v>312</v>
      </c>
      <c r="H35" s="106" t="s">
        <v>334</v>
      </c>
      <c r="I35" s="50" t="s">
        <v>120</v>
      </c>
      <c r="J35" s="149"/>
    </row>
    <row r="36" spans="1:10" ht="37.5" x14ac:dyDescent="0.3">
      <c r="A36" s="45">
        <v>3</v>
      </c>
      <c r="B36" s="43" t="s">
        <v>97</v>
      </c>
      <c r="C36" s="39">
        <f>D36</f>
        <v>6900000</v>
      </c>
      <c r="D36" s="39">
        <f>D37</f>
        <v>6900000</v>
      </c>
      <c r="E36" s="39">
        <f>E37</f>
        <v>0</v>
      </c>
      <c r="F36" s="47"/>
      <c r="G36" s="44"/>
      <c r="H36" s="44"/>
      <c r="I36" s="40"/>
      <c r="J36" s="149"/>
    </row>
    <row r="37" spans="1:10" ht="63.75" x14ac:dyDescent="0.3">
      <c r="A37" s="21"/>
      <c r="B37" s="148" t="s">
        <v>98</v>
      </c>
      <c r="C37" s="10"/>
      <c r="D37" s="10">
        <v>6900000</v>
      </c>
      <c r="E37" s="10">
        <v>0</v>
      </c>
      <c r="F37" s="49" t="s">
        <v>326</v>
      </c>
      <c r="G37" s="47" t="s">
        <v>308</v>
      </c>
      <c r="H37" s="49" t="s">
        <v>309</v>
      </c>
      <c r="I37" s="50" t="s">
        <v>121</v>
      </c>
      <c r="J37" s="149"/>
    </row>
    <row r="38" spans="1:10" ht="56.25" x14ac:dyDescent="0.3">
      <c r="A38" s="21"/>
      <c r="B38" s="43" t="s">
        <v>99</v>
      </c>
      <c r="C38" s="39">
        <f>C39+C41</f>
        <v>10094700</v>
      </c>
      <c r="D38" s="39">
        <f>D39+D41</f>
        <v>2094700</v>
      </c>
      <c r="E38" s="39">
        <f>E39+E41</f>
        <v>8000000</v>
      </c>
      <c r="F38" s="39"/>
      <c r="G38" s="44"/>
      <c r="H38" s="44"/>
      <c r="I38" s="48"/>
      <c r="J38" s="149"/>
    </row>
    <row r="39" spans="1:10" ht="56.25" x14ac:dyDescent="0.3">
      <c r="A39" s="45">
        <v>4</v>
      </c>
      <c r="B39" s="51" t="s">
        <v>100</v>
      </c>
      <c r="C39" s="39">
        <f>D39</f>
        <v>2094700</v>
      </c>
      <c r="D39" s="39">
        <f>D40</f>
        <v>2094700</v>
      </c>
      <c r="E39" s="39">
        <f>E40</f>
        <v>0</v>
      </c>
      <c r="F39" s="47"/>
      <c r="G39" s="44"/>
      <c r="H39" s="44"/>
      <c r="I39" s="40"/>
      <c r="J39" s="149"/>
    </row>
    <row r="40" spans="1:10" ht="56.25" x14ac:dyDescent="0.3">
      <c r="A40" s="21"/>
      <c r="B40" s="6" t="s">
        <v>248</v>
      </c>
      <c r="C40" s="10"/>
      <c r="D40" s="10">
        <v>2094700</v>
      </c>
      <c r="E40" s="10">
        <v>0</v>
      </c>
      <c r="F40" s="49" t="s">
        <v>326</v>
      </c>
      <c r="G40" s="49" t="s">
        <v>310</v>
      </c>
      <c r="H40" s="49" t="s">
        <v>340</v>
      </c>
      <c r="I40" s="50" t="s">
        <v>122</v>
      </c>
      <c r="J40" s="149"/>
    </row>
    <row r="41" spans="1:10" ht="37.5" x14ac:dyDescent="0.3">
      <c r="A41" s="45">
        <v>5</v>
      </c>
      <c r="B41" s="43" t="s">
        <v>101</v>
      </c>
      <c r="C41" s="39">
        <f>E41</f>
        <v>8000000</v>
      </c>
      <c r="D41" s="39">
        <v>0</v>
      </c>
      <c r="E41" s="39">
        <f>E42</f>
        <v>8000000</v>
      </c>
      <c r="F41" s="47" t="s">
        <v>191</v>
      </c>
      <c r="G41" s="44"/>
      <c r="H41" s="44"/>
      <c r="I41" s="40"/>
      <c r="J41" s="149"/>
    </row>
    <row r="42" spans="1:10" ht="31.5" x14ac:dyDescent="0.3">
      <c r="A42" s="21"/>
      <c r="B42" s="8" t="s">
        <v>102</v>
      </c>
      <c r="C42" s="10"/>
      <c r="D42" s="10">
        <v>0</v>
      </c>
      <c r="E42" s="10">
        <f>E43+E44+E45+E46</f>
        <v>8000000</v>
      </c>
      <c r="F42" s="10"/>
      <c r="G42" s="7"/>
      <c r="H42" s="7"/>
      <c r="I42" s="50" t="s">
        <v>122</v>
      </c>
      <c r="J42" s="149"/>
    </row>
    <row r="43" spans="1:10" ht="18.75" x14ac:dyDescent="0.3">
      <c r="A43" s="21"/>
      <c r="B43" s="52" t="s">
        <v>103</v>
      </c>
      <c r="C43" s="10"/>
      <c r="D43" s="10"/>
      <c r="E43" s="10">
        <v>2000000</v>
      </c>
      <c r="F43" s="10"/>
      <c r="G43" s="7"/>
      <c r="H43" s="7"/>
      <c r="I43" s="48"/>
      <c r="J43" s="149"/>
    </row>
    <row r="44" spans="1:10" ht="18.75" x14ac:dyDescent="0.3">
      <c r="A44" s="21"/>
      <c r="B44" s="52" t="s">
        <v>104</v>
      </c>
      <c r="C44" s="10"/>
      <c r="D44" s="10"/>
      <c r="E44" s="10">
        <v>2000000</v>
      </c>
      <c r="F44" s="10"/>
      <c r="G44" s="7"/>
      <c r="H44" s="7"/>
      <c r="I44" s="48"/>
      <c r="J44" s="149"/>
    </row>
    <row r="45" spans="1:10" ht="18.75" x14ac:dyDescent="0.3">
      <c r="A45" s="21"/>
      <c r="B45" s="52" t="s">
        <v>105</v>
      </c>
      <c r="C45" s="10"/>
      <c r="D45" s="10"/>
      <c r="E45" s="10">
        <v>2000000</v>
      </c>
      <c r="F45" s="10"/>
      <c r="G45" s="7"/>
      <c r="H45" s="7"/>
      <c r="I45" s="48"/>
      <c r="J45" s="149"/>
    </row>
    <row r="46" spans="1:10" ht="21" customHeight="1" x14ac:dyDescent="0.3">
      <c r="A46" s="21"/>
      <c r="B46" s="52" t="s">
        <v>106</v>
      </c>
      <c r="C46" s="10"/>
      <c r="D46" s="10"/>
      <c r="E46" s="10">
        <v>2000000</v>
      </c>
      <c r="F46" s="10"/>
      <c r="G46" s="7"/>
      <c r="H46" s="7"/>
      <c r="I46" s="48"/>
      <c r="J46" s="149"/>
    </row>
    <row r="47" spans="1:10" ht="18.75" x14ac:dyDescent="0.3">
      <c r="A47" s="21"/>
      <c r="B47" s="42" t="s">
        <v>107</v>
      </c>
      <c r="C47" s="39">
        <f>C48+C50</f>
        <v>45400000</v>
      </c>
      <c r="D47" s="39">
        <f t="shared" ref="D47:E47" si="3">D48+D50</f>
        <v>45000000</v>
      </c>
      <c r="E47" s="39">
        <f t="shared" si="3"/>
        <v>400000</v>
      </c>
      <c r="F47" s="39"/>
      <c r="G47" s="44"/>
      <c r="H47" s="44"/>
      <c r="I47" s="48"/>
      <c r="J47" s="149"/>
    </row>
    <row r="48" spans="1:10" ht="35.25" customHeight="1" x14ac:dyDescent="0.3">
      <c r="A48" s="45">
        <v>6</v>
      </c>
      <c r="B48" s="43" t="s">
        <v>108</v>
      </c>
      <c r="C48" s="39">
        <f>D48</f>
        <v>45000000</v>
      </c>
      <c r="D48" s="39">
        <f>D49</f>
        <v>45000000</v>
      </c>
      <c r="E48" s="39">
        <f>E49</f>
        <v>0</v>
      </c>
      <c r="F48" s="47"/>
      <c r="G48" s="44"/>
      <c r="H48" s="44"/>
      <c r="I48" s="40"/>
      <c r="J48" s="149"/>
    </row>
    <row r="49" spans="1:10" ht="48" customHeight="1" x14ac:dyDescent="0.3">
      <c r="A49" s="21"/>
      <c r="B49" s="53" t="s">
        <v>109</v>
      </c>
      <c r="C49" s="10"/>
      <c r="D49" s="10">
        <v>45000000</v>
      </c>
      <c r="E49" s="10">
        <v>0</v>
      </c>
      <c r="F49" s="49" t="s">
        <v>326</v>
      </c>
      <c r="G49" s="54" t="s">
        <v>296</v>
      </c>
      <c r="H49" s="49" t="s">
        <v>278</v>
      </c>
      <c r="I49" s="50" t="s">
        <v>29</v>
      </c>
      <c r="J49" s="149"/>
    </row>
    <row r="50" spans="1:10" ht="18.75" x14ac:dyDescent="0.3">
      <c r="A50" s="45">
        <v>7</v>
      </c>
      <c r="B50" s="42" t="s">
        <v>110</v>
      </c>
      <c r="C50" s="39">
        <f>E50</f>
        <v>400000</v>
      </c>
      <c r="D50" s="39">
        <v>0</v>
      </c>
      <c r="E50" s="39">
        <f>E51</f>
        <v>400000</v>
      </c>
      <c r="F50" s="47" t="s">
        <v>249</v>
      </c>
      <c r="G50" s="44"/>
      <c r="H50" s="44"/>
      <c r="I50" s="40"/>
      <c r="J50" s="149"/>
    </row>
    <row r="51" spans="1:10" ht="30.75" x14ac:dyDescent="0.3">
      <c r="A51" s="21"/>
      <c r="B51" s="8" t="s">
        <v>111</v>
      </c>
      <c r="C51" s="10"/>
      <c r="D51" s="10">
        <v>0</v>
      </c>
      <c r="E51" s="10">
        <v>400000</v>
      </c>
      <c r="F51" s="10"/>
      <c r="G51" s="7"/>
      <c r="H51" s="7"/>
      <c r="I51" s="55" t="s">
        <v>142</v>
      </c>
      <c r="J51" s="149"/>
    </row>
    <row r="52" spans="1:10" ht="18.75" x14ac:dyDescent="0.3">
      <c r="A52" s="42"/>
      <c r="B52" s="40" t="s">
        <v>112</v>
      </c>
      <c r="C52" s="39">
        <f>C8+C38+C47</f>
        <v>93962000</v>
      </c>
      <c r="D52" s="39">
        <f t="shared" ref="D52:E52" si="4">D8+D38+D47</f>
        <v>74923700</v>
      </c>
      <c r="E52" s="39">
        <f t="shared" si="4"/>
        <v>19038300</v>
      </c>
      <c r="F52" s="39"/>
      <c r="G52" s="44"/>
      <c r="H52" s="44"/>
      <c r="I52" s="42"/>
      <c r="J52" s="149"/>
    </row>
    <row r="53" spans="1:10" ht="21" x14ac:dyDescent="0.35">
      <c r="A53" s="3"/>
      <c r="B53" s="3"/>
      <c r="C53" s="3"/>
      <c r="D53" s="3"/>
      <c r="E53" s="3"/>
      <c r="F53" s="3"/>
      <c r="G53" s="3"/>
      <c r="H53" s="3"/>
      <c r="I53" s="3"/>
    </row>
    <row r="54" spans="1:10" ht="21" x14ac:dyDescent="0.35">
      <c r="A54" s="3"/>
      <c r="B54" s="3"/>
      <c r="C54" s="3"/>
      <c r="D54" s="3"/>
      <c r="E54" s="3"/>
      <c r="F54" s="3"/>
      <c r="G54" s="3"/>
      <c r="H54" s="3"/>
      <c r="I54" s="3"/>
    </row>
    <row r="55" spans="1:10" ht="21" x14ac:dyDescent="0.35">
      <c r="A55" s="3"/>
      <c r="B55" s="3"/>
      <c r="C55" s="3"/>
      <c r="D55" s="3"/>
      <c r="E55" s="3"/>
      <c r="F55" s="3"/>
      <c r="G55" s="3"/>
      <c r="H55" s="3"/>
      <c r="I55" s="3"/>
    </row>
    <row r="56" spans="1:10" ht="2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10" ht="21" x14ac:dyDescent="0.35">
      <c r="A57" s="3"/>
      <c r="B57" s="3"/>
      <c r="C57" s="3"/>
      <c r="D57" s="3"/>
      <c r="E57" s="3"/>
      <c r="F57" s="3"/>
      <c r="G57" s="3"/>
      <c r="H57" s="3"/>
      <c r="I57" s="3"/>
    </row>
    <row r="58" spans="1:10" ht="21" x14ac:dyDescent="0.35">
      <c r="A58" s="3"/>
      <c r="B58" s="3"/>
      <c r="C58" s="3"/>
      <c r="D58" s="3"/>
      <c r="E58" s="3"/>
      <c r="F58" s="3"/>
      <c r="G58" s="3"/>
      <c r="H58" s="3"/>
      <c r="I58" s="3"/>
    </row>
    <row r="59" spans="1:10" ht="21" x14ac:dyDescent="0.35">
      <c r="A59" s="3"/>
      <c r="B59" s="3"/>
      <c r="C59" s="3"/>
      <c r="D59" s="3"/>
      <c r="E59" s="3"/>
      <c r="F59" s="3"/>
      <c r="G59" s="3"/>
      <c r="H59" s="3"/>
      <c r="I59" s="3"/>
    </row>
    <row r="60" spans="1:10" ht="21" x14ac:dyDescent="0.35">
      <c r="A60" s="3"/>
      <c r="B60" s="3"/>
      <c r="C60" s="3"/>
      <c r="D60" s="3"/>
      <c r="E60" s="3"/>
      <c r="F60" s="3"/>
      <c r="G60" s="3"/>
      <c r="H60" s="3"/>
      <c r="I60" s="3"/>
    </row>
    <row r="61" spans="1:10" ht="21" x14ac:dyDescent="0.35">
      <c r="A61" s="3"/>
      <c r="B61" s="3"/>
      <c r="C61" s="3"/>
      <c r="D61" s="3"/>
      <c r="E61" s="3"/>
      <c r="F61" s="3"/>
      <c r="G61" s="3"/>
      <c r="H61" s="3"/>
      <c r="I61" s="3"/>
    </row>
    <row r="62" spans="1:10" ht="21" x14ac:dyDescent="0.35">
      <c r="A62" s="3"/>
      <c r="B62" s="3"/>
      <c r="C62" s="3"/>
      <c r="D62" s="3"/>
      <c r="E62" s="3"/>
      <c r="F62" s="3"/>
      <c r="G62" s="3"/>
      <c r="H62" s="3"/>
      <c r="I62" s="3"/>
    </row>
    <row r="63" spans="1:10" ht="21" x14ac:dyDescent="0.35">
      <c r="A63" s="3"/>
      <c r="B63" s="3"/>
      <c r="C63" s="3"/>
      <c r="D63" s="3"/>
      <c r="E63" s="3"/>
      <c r="F63" s="3"/>
      <c r="G63" s="3"/>
      <c r="H63" s="3"/>
      <c r="I63" s="3"/>
    </row>
    <row r="64" spans="1:10" ht="21" x14ac:dyDescent="0.35">
      <c r="A64" s="3"/>
      <c r="B64" s="3"/>
      <c r="C64" s="3"/>
      <c r="D64" s="3"/>
      <c r="E64" s="3"/>
      <c r="F64" s="3"/>
      <c r="G64" s="3"/>
      <c r="H64" s="3"/>
      <c r="I64" s="3"/>
    </row>
    <row r="65" spans="1:9" ht="21" x14ac:dyDescent="0.35">
      <c r="A65" s="3"/>
      <c r="B65" s="3"/>
      <c r="C65" s="3"/>
      <c r="D65" s="3"/>
      <c r="E65" s="3"/>
      <c r="F65" s="3"/>
      <c r="G65" s="3"/>
      <c r="H65" s="3"/>
      <c r="I65" s="3"/>
    </row>
    <row r="66" spans="1:9" ht="21" x14ac:dyDescent="0.35">
      <c r="A66" s="3"/>
      <c r="B66" s="3"/>
      <c r="C66" s="3"/>
      <c r="D66" s="3"/>
      <c r="E66" s="3"/>
      <c r="F66" s="3"/>
      <c r="G66" s="3"/>
      <c r="H66" s="3"/>
      <c r="I66" s="3"/>
    </row>
    <row r="67" spans="1:9" ht="21" x14ac:dyDescent="0.35">
      <c r="A67" s="3"/>
      <c r="B67" s="3"/>
      <c r="C67" s="3"/>
      <c r="D67" s="3"/>
      <c r="E67" s="3"/>
      <c r="F67" s="3"/>
      <c r="G67" s="3"/>
      <c r="H67" s="3"/>
      <c r="I67" s="3"/>
    </row>
    <row r="68" spans="1:9" ht="21" x14ac:dyDescent="0.35">
      <c r="A68" s="3"/>
      <c r="B68" s="3"/>
      <c r="C68" s="3"/>
      <c r="D68" s="3"/>
      <c r="E68" s="3"/>
      <c r="F68" s="3"/>
      <c r="G68" s="3"/>
      <c r="H68" s="3"/>
      <c r="I68" s="3"/>
    </row>
  </sheetData>
  <mergeCells count="10">
    <mergeCell ref="H4:J4"/>
    <mergeCell ref="A5:A6"/>
    <mergeCell ref="B5:B6"/>
    <mergeCell ref="C5:E5"/>
    <mergeCell ref="A1:I1"/>
    <mergeCell ref="A2:I2"/>
    <mergeCell ref="A3:I3"/>
    <mergeCell ref="F5:H5"/>
    <mergeCell ref="I5:I6"/>
    <mergeCell ref="J5:J6"/>
  </mergeCells>
  <pageMargins left="0.31496062992125984" right="0.19685039370078741" top="0.31496062992125984" bottom="0.31496062992125984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X211"/>
  <sheetViews>
    <sheetView zoomScale="70" zoomScaleNormal="70" workbookViewId="0">
      <pane ySplit="8" topLeftCell="A166" activePane="bottomLeft" state="frozen"/>
      <selection pane="bottomLeft" activeCell="I169" sqref="I169"/>
    </sheetView>
  </sheetViews>
  <sheetFormatPr defaultColWidth="9" defaultRowHeight="17.25" x14ac:dyDescent="0.3"/>
  <cols>
    <col min="1" max="1" width="1.625" style="152" customWidth="1"/>
    <col min="2" max="3" width="1.75" style="152" customWidth="1"/>
    <col min="4" max="4" width="51.625" style="152" customWidth="1"/>
    <col min="5" max="5" width="13.5" style="161" customWidth="1"/>
    <col min="6" max="6" width="13.375" style="161" customWidth="1"/>
    <col min="7" max="7" width="13" style="161" customWidth="1"/>
    <col min="8" max="8" width="10.375" style="161" customWidth="1"/>
    <col min="9" max="10" width="12" style="392" customWidth="1"/>
    <col min="11" max="11" width="15.375" style="161" customWidth="1"/>
    <col min="12" max="12" width="15.5" style="161" customWidth="1"/>
    <col min="13" max="13" width="14.5" style="230" customWidth="1"/>
    <col min="14" max="14" width="16" style="161" customWidth="1"/>
    <col min="15" max="15" width="7.125" style="161" customWidth="1"/>
    <col min="16" max="16" width="14.375" style="207" customWidth="1"/>
    <col min="17" max="17" width="9" style="152"/>
    <col min="18" max="18" width="15.75" style="152" customWidth="1"/>
    <col min="19" max="20" width="9" style="152"/>
    <col min="21" max="21" width="9.375" style="152" bestFit="1" customWidth="1"/>
    <col min="22" max="16384" width="9" style="152"/>
  </cols>
  <sheetData>
    <row r="1" spans="1:24" ht="21" x14ac:dyDescent="0.35">
      <c r="A1" s="897" t="s">
        <v>706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</row>
    <row r="2" spans="1:24" ht="21" x14ac:dyDescent="0.35">
      <c r="A2" s="897" t="s">
        <v>394</v>
      </c>
      <c r="B2" s="89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897"/>
      <c r="O2" s="897"/>
      <c r="P2" s="897"/>
    </row>
    <row r="3" spans="1:24" ht="21" x14ac:dyDescent="0.35">
      <c r="A3" s="898"/>
      <c r="B3" s="898"/>
      <c r="C3" s="898"/>
      <c r="D3" s="898"/>
      <c r="E3" s="899" t="s">
        <v>866</v>
      </c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899"/>
    </row>
    <row r="4" spans="1:24" ht="21" customHeight="1" x14ac:dyDescent="0.3">
      <c r="A4" s="900" t="s">
        <v>77</v>
      </c>
      <c r="B4" s="901"/>
      <c r="C4" s="901"/>
      <c r="D4" s="902"/>
      <c r="E4" s="850" t="s">
        <v>189</v>
      </c>
      <c r="F4" s="851"/>
      <c r="G4" s="852"/>
      <c r="H4" s="850" t="s">
        <v>186</v>
      </c>
      <c r="I4" s="851"/>
      <c r="J4" s="851"/>
      <c r="K4" s="851"/>
      <c r="L4" s="852"/>
      <c r="M4" s="850" t="s">
        <v>376</v>
      </c>
      <c r="N4" s="851"/>
      <c r="O4" s="852"/>
      <c r="P4" s="909" t="s">
        <v>395</v>
      </c>
    </row>
    <row r="5" spans="1:24" s="154" customFormat="1" ht="21" customHeight="1" x14ac:dyDescent="0.2">
      <c r="A5" s="903"/>
      <c r="B5" s="904"/>
      <c r="C5" s="904"/>
      <c r="D5" s="905"/>
      <c r="E5" s="853"/>
      <c r="F5" s="854"/>
      <c r="G5" s="855"/>
      <c r="H5" s="853"/>
      <c r="I5" s="854"/>
      <c r="J5" s="854"/>
      <c r="K5" s="854"/>
      <c r="L5" s="855"/>
      <c r="M5" s="853"/>
      <c r="N5" s="854"/>
      <c r="O5" s="855"/>
      <c r="P5" s="910"/>
      <c r="R5" s="407"/>
    </row>
    <row r="6" spans="1:24" s="154" customFormat="1" ht="42" x14ac:dyDescent="0.2">
      <c r="A6" s="906"/>
      <c r="B6" s="907"/>
      <c r="C6" s="907"/>
      <c r="D6" s="908"/>
      <c r="E6" s="153" t="s">
        <v>112</v>
      </c>
      <c r="F6" s="153" t="s">
        <v>81</v>
      </c>
      <c r="G6" s="153" t="s">
        <v>80</v>
      </c>
      <c r="H6" s="153" t="s">
        <v>190</v>
      </c>
      <c r="I6" s="153" t="s">
        <v>71</v>
      </c>
      <c r="J6" s="439" t="s">
        <v>188</v>
      </c>
      <c r="K6" s="153" t="s">
        <v>185</v>
      </c>
      <c r="L6" s="153" t="s">
        <v>284</v>
      </c>
      <c r="M6" s="226" t="s">
        <v>505</v>
      </c>
      <c r="N6" s="153" t="s">
        <v>73</v>
      </c>
      <c r="O6" s="153" t="s">
        <v>74</v>
      </c>
      <c r="P6" s="911"/>
      <c r="R6" s="407"/>
    </row>
    <row r="7" spans="1:24" ht="27" customHeight="1" x14ac:dyDescent="0.35">
      <c r="A7" s="882" t="s">
        <v>396</v>
      </c>
      <c r="B7" s="883"/>
      <c r="C7" s="883"/>
      <c r="D7" s="884"/>
      <c r="E7" s="155">
        <f>E8+E144</f>
        <v>933802100</v>
      </c>
      <c r="F7" s="155">
        <f>F8+F144</f>
        <v>195943400</v>
      </c>
      <c r="G7" s="155">
        <f>G8+G144</f>
        <v>737858700</v>
      </c>
      <c r="H7" s="155"/>
      <c r="I7" s="367"/>
      <c r="J7" s="367"/>
      <c r="K7" s="233">
        <f>K8+K144</f>
        <v>543809871.20000005</v>
      </c>
      <c r="L7" s="233">
        <f>L8+L144</f>
        <v>65053875.799999997</v>
      </c>
      <c r="M7" s="233">
        <f>M8+M144</f>
        <v>43393241.670000002</v>
      </c>
      <c r="N7" s="233">
        <f>E7-M7</f>
        <v>890408858.33000004</v>
      </c>
      <c r="O7" s="233">
        <f>M7*100/R8</f>
        <v>4.8724949813345395</v>
      </c>
      <c r="P7" s="156"/>
    </row>
    <row r="8" spans="1:24" ht="45" customHeight="1" x14ac:dyDescent="0.35">
      <c r="A8" s="885" t="s">
        <v>397</v>
      </c>
      <c r="B8" s="886"/>
      <c r="C8" s="886"/>
      <c r="D8" s="887"/>
      <c r="E8" s="157">
        <f>E9+E31+E69+E74+E82+E89+E130</f>
        <v>551400500</v>
      </c>
      <c r="F8" s="157">
        <f>F9+F31+F69+F74+F82+F89+F130</f>
        <v>148443400</v>
      </c>
      <c r="G8" s="157">
        <f>G9+G31+G69+G74+G82+G89+G130</f>
        <v>402957100</v>
      </c>
      <c r="H8" s="157"/>
      <c r="I8" s="363"/>
      <c r="J8" s="363"/>
      <c r="K8" s="350">
        <f>K9+K32+K69+K74+K82+K89+K130</f>
        <v>299699872.20000005</v>
      </c>
      <c r="L8" s="350">
        <f>L9+L32+L69+L74+L82+L89+L130</f>
        <v>57838274.799999997</v>
      </c>
      <c r="M8" s="157">
        <f>M9+M31+M69+M74+M82+M89+M130</f>
        <v>17475091.670000002</v>
      </c>
      <c r="N8" s="245">
        <f>E8-M8</f>
        <v>533925408.32999998</v>
      </c>
      <c r="O8" s="241">
        <f>M8*100/E8</f>
        <v>3.1692194094854833</v>
      </c>
      <c r="P8" s="158"/>
      <c r="R8" s="353">
        <v>890575400</v>
      </c>
    </row>
    <row r="9" spans="1:24" ht="23.25" customHeight="1" x14ac:dyDescent="0.3">
      <c r="A9" s="888" t="s">
        <v>398</v>
      </c>
      <c r="B9" s="888"/>
      <c r="C9" s="888"/>
      <c r="D9" s="888"/>
      <c r="E9" s="159">
        <f>E10</f>
        <v>230333000</v>
      </c>
      <c r="F9" s="159">
        <v>0</v>
      </c>
      <c r="G9" s="159">
        <f>G10</f>
        <v>230333000</v>
      </c>
      <c r="H9" s="159"/>
      <c r="I9" s="368"/>
      <c r="J9" s="368"/>
      <c r="K9" s="349">
        <f>K10</f>
        <v>197560607.15000001</v>
      </c>
      <c r="L9" s="349">
        <f>L10</f>
        <v>16748739.850000001</v>
      </c>
      <c r="M9" s="159">
        <f>M10</f>
        <v>9315871.6699999999</v>
      </c>
      <c r="N9" s="159">
        <f>E9-M9</f>
        <v>221017128.33000001</v>
      </c>
      <c r="O9" s="349">
        <f>M9*100/E9</f>
        <v>4.0445232207282498</v>
      </c>
      <c r="P9" s="160"/>
      <c r="U9" s="351" t="s">
        <v>712</v>
      </c>
    </row>
    <row r="10" spans="1:24" ht="42" customHeight="1" x14ac:dyDescent="0.35">
      <c r="A10" s="162"/>
      <c r="B10" s="832" t="s">
        <v>399</v>
      </c>
      <c r="C10" s="832"/>
      <c r="D10" s="833"/>
      <c r="E10" s="163">
        <f>E11+E26</f>
        <v>230333000</v>
      </c>
      <c r="F10" s="164"/>
      <c r="G10" s="164">
        <f>G11+G26</f>
        <v>230333000</v>
      </c>
      <c r="H10" s="164"/>
      <c r="I10" s="369"/>
      <c r="J10" s="369"/>
      <c r="K10" s="281">
        <f>K11+K26</f>
        <v>197560607.15000001</v>
      </c>
      <c r="L10" s="281">
        <f>L11+L26</f>
        <v>16748739.850000001</v>
      </c>
      <c r="M10" s="164">
        <f>M11+M26</f>
        <v>9315871.6699999999</v>
      </c>
      <c r="N10" s="164">
        <f>G10-M10</f>
        <v>221017128.33000001</v>
      </c>
      <c r="O10" s="281">
        <f>M10*100/E10</f>
        <v>4.0445232207282498</v>
      </c>
      <c r="P10" s="165"/>
      <c r="R10" s="356">
        <f>M11+M26+M39+M53+M67+M78+M94+M98+M130+M148+M153+M176+M196+M200</f>
        <v>38663971.670000002</v>
      </c>
      <c r="S10" s="182" t="s">
        <v>80</v>
      </c>
      <c r="T10" s="341">
        <f>R10*100/U10</f>
        <v>5.3235942865773973</v>
      </c>
      <c r="U10" s="351">
        <v>726275700</v>
      </c>
      <c r="X10" s="161"/>
    </row>
    <row r="11" spans="1:24" s="253" customFormat="1" ht="21" x14ac:dyDescent="0.35">
      <c r="A11" s="251"/>
      <c r="B11" s="252"/>
      <c r="C11" s="889" t="s">
        <v>400</v>
      </c>
      <c r="D11" s="890"/>
      <c r="E11" s="249">
        <f>SUM(E12:E25)</f>
        <v>127936000</v>
      </c>
      <c r="F11" s="249"/>
      <c r="G11" s="249">
        <f>SUM(G12:G25)</f>
        <v>127936000</v>
      </c>
      <c r="H11" s="249"/>
      <c r="I11" s="370"/>
      <c r="J11" s="370"/>
      <c r="K11" s="289">
        <f>SUM(K12:K25)</f>
        <v>97029607.150000006</v>
      </c>
      <c r="L11" s="289">
        <f>SUM(L12:L25)</f>
        <v>14882739.850000001</v>
      </c>
      <c r="M11" s="249">
        <f>M12+M13+M14+M15+M16+M17+M18+M19+M20+M21+M22+M23+M24+M25</f>
        <v>2570111.67</v>
      </c>
      <c r="N11" s="249">
        <f>N12+N13+N14+N15+N16+N17+N18+N19+N20+N21+N22+N23+N24+N25</f>
        <v>125365888.33</v>
      </c>
      <c r="O11" s="289">
        <f>M11*100/E11</f>
        <v>2.0089041942846424</v>
      </c>
      <c r="P11" s="250"/>
      <c r="R11" s="340"/>
      <c r="S11" s="258"/>
      <c r="U11" s="351"/>
    </row>
    <row r="12" spans="1:24" ht="44.25" customHeight="1" x14ac:dyDescent="0.35">
      <c r="A12" s="166"/>
      <c r="B12" s="167"/>
      <c r="C12" s="167"/>
      <c r="D12" s="168" t="s">
        <v>535</v>
      </c>
      <c r="E12" s="169">
        <f>G12</f>
        <v>10000000</v>
      </c>
      <c r="F12" s="169"/>
      <c r="G12" s="169">
        <v>10000000</v>
      </c>
      <c r="H12" s="365" t="s">
        <v>861</v>
      </c>
      <c r="I12" s="365" t="s">
        <v>195</v>
      </c>
      <c r="J12" s="342" t="s">
        <v>868</v>
      </c>
      <c r="K12" s="169">
        <v>6290000</v>
      </c>
      <c r="L12" s="169">
        <f>G12-K12</f>
        <v>3710000</v>
      </c>
      <c r="M12" s="227">
        <v>0</v>
      </c>
      <c r="N12" s="169">
        <f t="shared" ref="N12:N25" si="0">G12-M12</f>
        <v>10000000</v>
      </c>
      <c r="O12" s="169">
        <f t="shared" ref="O12:O30" si="1">M12*100/G12</f>
        <v>0</v>
      </c>
      <c r="P12" s="208" t="s">
        <v>29</v>
      </c>
      <c r="R12" s="356">
        <f>M38+M52+M66+M70+M72+M77+M79+M80+M83+M86+M93+M146+M173+M202+M205</f>
        <v>4729270</v>
      </c>
      <c r="S12" s="182" t="s">
        <v>704</v>
      </c>
      <c r="T12" s="341">
        <f>R12*100/U12</f>
        <v>2.8784410440189485</v>
      </c>
      <c r="U12" s="352">
        <v>164299700</v>
      </c>
    </row>
    <row r="13" spans="1:24" ht="42" x14ac:dyDescent="0.35">
      <c r="A13" s="170"/>
      <c r="B13" s="171"/>
      <c r="C13" s="171"/>
      <c r="D13" s="172" t="s">
        <v>536</v>
      </c>
      <c r="E13" s="169">
        <f t="shared" ref="E13:E25" si="2">G13</f>
        <v>10000000</v>
      </c>
      <c r="F13" s="169"/>
      <c r="G13" s="169">
        <v>10000000</v>
      </c>
      <c r="H13" s="365" t="s">
        <v>861</v>
      </c>
      <c r="I13" s="365" t="s">
        <v>867</v>
      </c>
      <c r="J13" s="342" t="s">
        <v>868</v>
      </c>
      <c r="K13" s="348">
        <v>5659696.5999999996</v>
      </c>
      <c r="L13" s="348">
        <f t="shared" ref="L13:L25" si="3">G13-K13</f>
        <v>4340303.4000000004</v>
      </c>
      <c r="M13" s="227">
        <v>0</v>
      </c>
      <c r="N13" s="169">
        <f t="shared" si="0"/>
        <v>10000000</v>
      </c>
      <c r="O13" s="169">
        <f t="shared" si="1"/>
        <v>0</v>
      </c>
      <c r="P13" s="208" t="s">
        <v>29</v>
      </c>
      <c r="U13" s="351"/>
    </row>
    <row r="14" spans="1:24" ht="45.75" customHeight="1" x14ac:dyDescent="0.35">
      <c r="A14" s="166"/>
      <c r="B14" s="167"/>
      <c r="C14" s="167"/>
      <c r="D14" s="168" t="s">
        <v>671</v>
      </c>
      <c r="E14" s="169">
        <f t="shared" si="2"/>
        <v>10000000</v>
      </c>
      <c r="F14" s="169"/>
      <c r="G14" s="169">
        <v>10000000</v>
      </c>
      <c r="H14" s="365" t="s">
        <v>861</v>
      </c>
      <c r="I14" s="365" t="s">
        <v>867</v>
      </c>
      <c r="J14" s="342" t="s">
        <v>868</v>
      </c>
      <c r="K14" s="348">
        <v>5669758.5499999998</v>
      </c>
      <c r="L14" s="348">
        <f t="shared" si="3"/>
        <v>4330241.45</v>
      </c>
      <c r="M14" s="227">
        <v>0</v>
      </c>
      <c r="N14" s="169">
        <f t="shared" si="0"/>
        <v>10000000</v>
      </c>
      <c r="O14" s="169">
        <f t="shared" si="1"/>
        <v>0</v>
      </c>
      <c r="P14" s="208" t="s">
        <v>29</v>
      </c>
      <c r="U14" s="351"/>
    </row>
    <row r="15" spans="1:24" ht="43.5" customHeight="1" x14ac:dyDescent="0.35">
      <c r="A15" s="166"/>
      <c r="B15" s="167"/>
      <c r="C15" s="167"/>
      <c r="D15" s="168" t="s">
        <v>672</v>
      </c>
      <c r="E15" s="169">
        <f t="shared" si="2"/>
        <v>10000000</v>
      </c>
      <c r="F15" s="169"/>
      <c r="G15" s="169">
        <v>10000000</v>
      </c>
      <c r="H15" s="365" t="s">
        <v>861</v>
      </c>
      <c r="I15" s="365" t="s">
        <v>678</v>
      </c>
      <c r="J15" s="342" t="s">
        <v>679</v>
      </c>
      <c r="K15" s="169">
        <v>9745000</v>
      </c>
      <c r="L15" s="169">
        <f t="shared" si="3"/>
        <v>255000</v>
      </c>
      <c r="M15" s="227">
        <v>0</v>
      </c>
      <c r="N15" s="169">
        <f t="shared" si="0"/>
        <v>10000000</v>
      </c>
      <c r="O15" s="169">
        <f t="shared" si="1"/>
        <v>0</v>
      </c>
      <c r="P15" s="208" t="s">
        <v>29</v>
      </c>
      <c r="Q15" s="152">
        <v>1</v>
      </c>
      <c r="R15" s="357">
        <f>M9+M39+M53+M67+M94+M98+M130</f>
        <v>12916321.67</v>
      </c>
      <c r="S15" s="152" t="s">
        <v>708</v>
      </c>
      <c r="T15" s="346">
        <f>R15*100/U15</f>
        <v>3.2053838162921067</v>
      </c>
      <c r="U15" s="351">
        <v>402957100</v>
      </c>
    </row>
    <row r="16" spans="1:24" ht="42" customHeight="1" x14ac:dyDescent="0.35">
      <c r="A16" s="166"/>
      <c r="B16" s="167"/>
      <c r="C16" s="167"/>
      <c r="D16" s="168" t="s">
        <v>673</v>
      </c>
      <c r="E16" s="169">
        <f t="shared" si="2"/>
        <v>10000000</v>
      </c>
      <c r="F16" s="169"/>
      <c r="G16" s="169">
        <v>10000000</v>
      </c>
      <c r="H16" s="365" t="s">
        <v>861</v>
      </c>
      <c r="I16" s="365" t="s">
        <v>678</v>
      </c>
      <c r="J16" s="342" t="s">
        <v>679</v>
      </c>
      <c r="K16" s="169">
        <v>9690000</v>
      </c>
      <c r="L16" s="169">
        <f t="shared" si="3"/>
        <v>310000</v>
      </c>
      <c r="M16" s="227">
        <v>0</v>
      </c>
      <c r="N16" s="169">
        <f t="shared" si="0"/>
        <v>10000000</v>
      </c>
      <c r="O16" s="169">
        <f t="shared" si="1"/>
        <v>0</v>
      </c>
      <c r="P16" s="208" t="s">
        <v>29</v>
      </c>
      <c r="R16" s="357">
        <f>M38+M52+M66+M69+M74+M82+M93+M128</f>
        <v>4558770</v>
      </c>
      <c r="S16" s="152" t="s">
        <v>81</v>
      </c>
      <c r="T16" s="346">
        <f>R16*100/U16</f>
        <v>3.9030665318489688</v>
      </c>
      <c r="U16" s="351">
        <v>116799700</v>
      </c>
    </row>
    <row r="17" spans="1:21" ht="43.5" customHeight="1" x14ac:dyDescent="0.35">
      <c r="A17" s="170"/>
      <c r="B17" s="171"/>
      <c r="C17" s="171"/>
      <c r="D17" s="172" t="s">
        <v>674</v>
      </c>
      <c r="E17" s="169">
        <f t="shared" si="2"/>
        <v>10000000</v>
      </c>
      <c r="F17" s="169"/>
      <c r="G17" s="169">
        <v>10000000</v>
      </c>
      <c r="H17" s="365" t="s">
        <v>861</v>
      </c>
      <c r="I17" s="365" t="s">
        <v>678</v>
      </c>
      <c r="J17" s="342" t="s">
        <v>679</v>
      </c>
      <c r="K17" s="169">
        <v>9676000</v>
      </c>
      <c r="L17" s="169">
        <f t="shared" si="3"/>
        <v>324000</v>
      </c>
      <c r="M17" s="227">
        <v>0</v>
      </c>
      <c r="N17" s="169">
        <f t="shared" si="0"/>
        <v>10000000</v>
      </c>
      <c r="O17" s="169">
        <f t="shared" si="1"/>
        <v>0</v>
      </c>
      <c r="P17" s="208" t="s">
        <v>29</v>
      </c>
      <c r="R17" s="161"/>
    </row>
    <row r="18" spans="1:21" ht="43.5" customHeight="1" x14ac:dyDescent="0.35">
      <c r="A18" s="166"/>
      <c r="B18" s="167"/>
      <c r="C18" s="167"/>
      <c r="D18" s="168" t="s">
        <v>675</v>
      </c>
      <c r="E18" s="169">
        <f t="shared" si="2"/>
        <v>10000000</v>
      </c>
      <c r="F18" s="169"/>
      <c r="G18" s="169">
        <v>10000000</v>
      </c>
      <c r="H18" s="365" t="s">
        <v>861</v>
      </c>
      <c r="I18" s="365" t="s">
        <v>869</v>
      </c>
      <c r="J18" s="342" t="s">
        <v>870</v>
      </c>
      <c r="K18" s="169">
        <v>9725000</v>
      </c>
      <c r="L18" s="169">
        <f t="shared" si="3"/>
        <v>275000</v>
      </c>
      <c r="M18" s="227">
        <v>0</v>
      </c>
      <c r="N18" s="169">
        <f t="shared" si="0"/>
        <v>10000000</v>
      </c>
      <c r="O18" s="169">
        <f t="shared" si="1"/>
        <v>0</v>
      </c>
      <c r="P18" s="208" t="s">
        <v>29</v>
      </c>
      <c r="S18" s="161"/>
    </row>
    <row r="19" spans="1:21" s="175" customFormat="1" ht="42.75" customHeight="1" x14ac:dyDescent="0.35">
      <c r="A19" s="173"/>
      <c r="B19" s="174"/>
      <c r="C19" s="174"/>
      <c r="D19" s="172" t="s">
        <v>676</v>
      </c>
      <c r="E19" s="169">
        <f t="shared" si="2"/>
        <v>35000000</v>
      </c>
      <c r="F19" s="169"/>
      <c r="G19" s="169">
        <v>35000000</v>
      </c>
      <c r="H19" s="365" t="s">
        <v>861</v>
      </c>
      <c r="I19" s="365" t="s">
        <v>690</v>
      </c>
      <c r="J19" s="342" t="s">
        <v>735</v>
      </c>
      <c r="K19" s="169">
        <v>18976347</v>
      </c>
      <c r="L19" s="169">
        <v>0</v>
      </c>
      <c r="M19" s="227">
        <f>410896+43920+97902+98604+93330.92+14088.69+23200+6172.08+1112.8+2540.18+23540</f>
        <v>815306.67</v>
      </c>
      <c r="N19" s="169">
        <f t="shared" si="0"/>
        <v>34184693.329999998</v>
      </c>
      <c r="O19" s="348">
        <f t="shared" si="1"/>
        <v>2.3294476285714287</v>
      </c>
      <c r="P19" s="208" t="s">
        <v>29</v>
      </c>
      <c r="Q19" s="175">
        <v>2</v>
      </c>
      <c r="R19" s="345">
        <f>M146+M173+M202+M206</f>
        <v>170500</v>
      </c>
      <c r="S19" s="175" t="s">
        <v>81</v>
      </c>
      <c r="T19" s="347">
        <f>R19*100/U19</f>
        <v>0.35894736842105263</v>
      </c>
      <c r="U19" s="175">
        <v>47500000</v>
      </c>
    </row>
    <row r="20" spans="1:21" s="175" customFormat="1" ht="45.75" customHeight="1" x14ac:dyDescent="0.35">
      <c r="A20" s="176"/>
      <c r="B20" s="177"/>
      <c r="C20" s="177"/>
      <c r="D20" s="168" t="s">
        <v>401</v>
      </c>
      <c r="E20" s="169">
        <f t="shared" si="2"/>
        <v>5000000</v>
      </c>
      <c r="F20" s="169"/>
      <c r="G20" s="169">
        <v>5000000</v>
      </c>
      <c r="H20" s="365" t="s">
        <v>861</v>
      </c>
      <c r="I20" s="365" t="s">
        <v>690</v>
      </c>
      <c r="J20" s="342" t="s">
        <v>626</v>
      </c>
      <c r="K20" s="169">
        <v>4982000</v>
      </c>
      <c r="L20" s="169">
        <f t="shared" si="3"/>
        <v>18000</v>
      </c>
      <c r="M20" s="227">
        <v>0</v>
      </c>
      <c r="N20" s="169">
        <f t="shared" si="0"/>
        <v>5000000</v>
      </c>
      <c r="O20" s="169">
        <f t="shared" si="1"/>
        <v>0</v>
      </c>
      <c r="P20" s="208" t="s">
        <v>29</v>
      </c>
      <c r="R20" s="345">
        <f>M149+M153+M175+M196+M201</f>
        <v>25747650</v>
      </c>
      <c r="S20" s="175" t="s">
        <v>80</v>
      </c>
      <c r="T20" s="347">
        <f>R20*100/U20</f>
        <v>7.9635535969783362</v>
      </c>
      <c r="U20" s="175">
        <v>323318600</v>
      </c>
    </row>
    <row r="21" spans="1:21" s="175" customFormat="1" ht="42" customHeight="1" x14ac:dyDescent="0.35">
      <c r="A21" s="173"/>
      <c r="B21" s="174"/>
      <c r="C21" s="174"/>
      <c r="D21" s="172" t="s">
        <v>402</v>
      </c>
      <c r="E21" s="169">
        <f t="shared" si="2"/>
        <v>4000000</v>
      </c>
      <c r="F21" s="169"/>
      <c r="G21" s="169">
        <v>4000000</v>
      </c>
      <c r="H21" s="365" t="s">
        <v>861</v>
      </c>
      <c r="I21" s="365" t="s">
        <v>690</v>
      </c>
      <c r="J21" s="342" t="s">
        <v>626</v>
      </c>
      <c r="K21" s="169">
        <v>3980000</v>
      </c>
      <c r="L21" s="169">
        <f t="shared" si="3"/>
        <v>20000</v>
      </c>
      <c r="M21" s="227">
        <v>0</v>
      </c>
      <c r="N21" s="169">
        <f t="shared" si="0"/>
        <v>4000000</v>
      </c>
      <c r="O21" s="169">
        <f t="shared" si="1"/>
        <v>0</v>
      </c>
      <c r="P21" s="208" t="s">
        <v>29</v>
      </c>
    </row>
    <row r="22" spans="1:21" s="175" customFormat="1" ht="42" x14ac:dyDescent="0.35">
      <c r="A22" s="176"/>
      <c r="B22" s="177"/>
      <c r="C22" s="177"/>
      <c r="D22" s="168" t="s">
        <v>403</v>
      </c>
      <c r="E22" s="169">
        <f t="shared" si="2"/>
        <v>6000000</v>
      </c>
      <c r="F22" s="169"/>
      <c r="G22" s="169">
        <v>6000000</v>
      </c>
      <c r="H22" s="365" t="s">
        <v>861</v>
      </c>
      <c r="I22" s="365" t="s">
        <v>690</v>
      </c>
      <c r="J22" s="342" t="s">
        <v>680</v>
      </c>
      <c r="K22" s="169">
        <v>5937000</v>
      </c>
      <c r="L22" s="169">
        <f t="shared" si="3"/>
        <v>63000</v>
      </c>
      <c r="M22" s="227">
        <v>0</v>
      </c>
      <c r="N22" s="169">
        <f t="shared" si="0"/>
        <v>6000000</v>
      </c>
      <c r="O22" s="169">
        <f t="shared" si="1"/>
        <v>0</v>
      </c>
      <c r="P22" s="208" t="s">
        <v>29</v>
      </c>
    </row>
    <row r="23" spans="1:21" s="175" customFormat="1" ht="45" customHeight="1" x14ac:dyDescent="0.35">
      <c r="A23" s="176"/>
      <c r="B23" s="177"/>
      <c r="C23" s="177"/>
      <c r="D23" s="168" t="s">
        <v>677</v>
      </c>
      <c r="E23" s="169">
        <f t="shared" si="2"/>
        <v>5000000</v>
      </c>
      <c r="F23" s="169"/>
      <c r="G23" s="169">
        <v>5000000</v>
      </c>
      <c r="H23" s="365" t="s">
        <v>861</v>
      </c>
      <c r="I23" s="365" t="s">
        <v>690</v>
      </c>
      <c r="J23" s="342" t="s">
        <v>626</v>
      </c>
      <c r="K23" s="169">
        <v>4944000</v>
      </c>
      <c r="L23" s="169">
        <f t="shared" si="3"/>
        <v>56000</v>
      </c>
      <c r="M23" s="227">
        <v>0</v>
      </c>
      <c r="N23" s="169">
        <f t="shared" si="0"/>
        <v>5000000</v>
      </c>
      <c r="O23" s="169">
        <f t="shared" si="1"/>
        <v>0</v>
      </c>
      <c r="P23" s="208" t="s">
        <v>29</v>
      </c>
    </row>
    <row r="24" spans="1:21" s="175" customFormat="1" ht="37.5" x14ac:dyDescent="0.35">
      <c r="A24" s="176"/>
      <c r="B24" s="177"/>
      <c r="C24" s="177"/>
      <c r="D24" s="178" t="s">
        <v>404</v>
      </c>
      <c r="E24" s="169">
        <f t="shared" si="2"/>
        <v>1355000</v>
      </c>
      <c r="F24" s="179"/>
      <c r="G24" s="179">
        <v>1355000</v>
      </c>
      <c r="H24" s="365" t="s">
        <v>353</v>
      </c>
      <c r="I24" s="321" t="s">
        <v>689</v>
      </c>
      <c r="J24" s="342" t="s">
        <v>626</v>
      </c>
      <c r="K24" s="179">
        <v>814935</v>
      </c>
      <c r="L24" s="169">
        <f t="shared" si="3"/>
        <v>540065</v>
      </c>
      <c r="M24" s="228">
        <v>814935</v>
      </c>
      <c r="N24" s="169">
        <f t="shared" si="0"/>
        <v>540065</v>
      </c>
      <c r="O24" s="348">
        <v>100</v>
      </c>
      <c r="P24" s="208" t="s">
        <v>29</v>
      </c>
    </row>
    <row r="25" spans="1:21" s="175" customFormat="1" ht="37.5" x14ac:dyDescent="0.35">
      <c r="A25" s="173"/>
      <c r="B25" s="174"/>
      <c r="C25" s="174"/>
      <c r="D25" s="180" t="s">
        <v>405</v>
      </c>
      <c r="E25" s="169">
        <f t="shared" si="2"/>
        <v>1581000</v>
      </c>
      <c r="F25" s="179"/>
      <c r="G25" s="179">
        <v>1581000</v>
      </c>
      <c r="H25" s="365" t="s">
        <v>353</v>
      </c>
      <c r="I25" s="321" t="s">
        <v>689</v>
      </c>
      <c r="J25" s="342" t="s">
        <v>626</v>
      </c>
      <c r="K25" s="179">
        <v>939870</v>
      </c>
      <c r="L25" s="169">
        <f t="shared" si="3"/>
        <v>641130</v>
      </c>
      <c r="M25" s="228">
        <v>939870</v>
      </c>
      <c r="N25" s="169">
        <f t="shared" si="0"/>
        <v>641130</v>
      </c>
      <c r="O25" s="348">
        <v>100</v>
      </c>
      <c r="P25" s="208" t="s">
        <v>29</v>
      </c>
    </row>
    <row r="26" spans="1:21" s="258" customFormat="1" ht="24.75" customHeight="1" x14ac:dyDescent="0.35">
      <c r="A26" s="254"/>
      <c r="B26" s="255"/>
      <c r="C26" s="891" t="s">
        <v>406</v>
      </c>
      <c r="D26" s="889"/>
      <c r="E26" s="256">
        <f>SUM(E27:E30)</f>
        <v>102397000</v>
      </c>
      <c r="F26" s="256"/>
      <c r="G26" s="256">
        <f>SUM(G27:G30)</f>
        <v>102397000</v>
      </c>
      <c r="H26" s="449"/>
      <c r="I26" s="371"/>
      <c r="J26" s="372"/>
      <c r="K26" s="256">
        <f>SUM(K27:K30)</f>
        <v>100531000</v>
      </c>
      <c r="L26" s="256">
        <f>SUM(L27:L30)</f>
        <v>1866000</v>
      </c>
      <c r="M26" s="256">
        <f>SUM(M27:M30)</f>
        <v>6745760</v>
      </c>
      <c r="N26" s="256">
        <f>SUM(N27:N30)</f>
        <v>95651240</v>
      </c>
      <c r="O26" s="331">
        <f t="shared" si="1"/>
        <v>6.5878492533960955</v>
      </c>
      <c r="P26" s="257"/>
    </row>
    <row r="27" spans="1:21" ht="66.75" customHeight="1" x14ac:dyDescent="0.35">
      <c r="A27" s="170"/>
      <c r="B27" s="171"/>
      <c r="C27" s="171"/>
      <c r="D27" s="172" t="s">
        <v>507</v>
      </c>
      <c r="E27" s="179">
        <f>G27</f>
        <v>49647000</v>
      </c>
      <c r="F27" s="179"/>
      <c r="G27" s="179">
        <v>49647000</v>
      </c>
      <c r="H27" s="321" t="s">
        <v>860</v>
      </c>
      <c r="I27" s="321" t="s">
        <v>265</v>
      </c>
      <c r="J27" s="342" t="s">
        <v>627</v>
      </c>
      <c r="K27" s="179">
        <v>47840000</v>
      </c>
      <c r="L27" s="179">
        <f>G27-K27</f>
        <v>1807000</v>
      </c>
      <c r="M27" s="228">
        <v>0</v>
      </c>
      <c r="N27" s="179">
        <f>G27-M27</f>
        <v>49647000</v>
      </c>
      <c r="O27" s="181">
        <f t="shared" si="1"/>
        <v>0</v>
      </c>
      <c r="P27" s="208" t="s">
        <v>407</v>
      </c>
    </row>
    <row r="28" spans="1:21" ht="63" x14ac:dyDescent="0.35">
      <c r="A28" s="166"/>
      <c r="B28" s="167"/>
      <c r="C28" s="167"/>
      <c r="D28" s="168" t="s">
        <v>537</v>
      </c>
      <c r="E28" s="179">
        <f t="shared" ref="E28:E30" si="4">G28</f>
        <v>42161000</v>
      </c>
      <c r="F28" s="179"/>
      <c r="G28" s="179">
        <v>42161000</v>
      </c>
      <c r="H28" s="321" t="s">
        <v>860</v>
      </c>
      <c r="I28" s="321" t="s">
        <v>699</v>
      </c>
      <c r="J28" s="342" t="s">
        <v>627</v>
      </c>
      <c r="K28" s="179">
        <v>42161000</v>
      </c>
      <c r="L28" s="179">
        <f t="shared" ref="L28:L30" si="5">G28-K28</f>
        <v>0</v>
      </c>
      <c r="M28" s="228">
        <v>6745760</v>
      </c>
      <c r="N28" s="179">
        <f>G28-M28</f>
        <v>35415240</v>
      </c>
      <c r="O28" s="415">
        <f t="shared" si="1"/>
        <v>16</v>
      </c>
      <c r="P28" s="208" t="s">
        <v>407</v>
      </c>
    </row>
    <row r="29" spans="1:21" ht="42" x14ac:dyDescent="0.35">
      <c r="A29" s="170"/>
      <c r="B29" s="171"/>
      <c r="C29" s="171"/>
      <c r="D29" s="172" t="s">
        <v>508</v>
      </c>
      <c r="E29" s="179">
        <f t="shared" si="4"/>
        <v>4440000</v>
      </c>
      <c r="F29" s="183"/>
      <c r="G29" s="183">
        <v>4440000</v>
      </c>
      <c r="H29" s="321" t="s">
        <v>860</v>
      </c>
      <c r="I29" s="359" t="s">
        <v>678</v>
      </c>
      <c r="J29" s="342" t="s">
        <v>721</v>
      </c>
      <c r="K29" s="183">
        <v>4400000</v>
      </c>
      <c r="L29" s="179">
        <f t="shared" si="5"/>
        <v>40000</v>
      </c>
      <c r="M29" s="228">
        <v>0</v>
      </c>
      <c r="N29" s="179">
        <f>G29-M29</f>
        <v>4440000</v>
      </c>
      <c r="O29" s="181">
        <f t="shared" si="1"/>
        <v>0</v>
      </c>
      <c r="P29" s="208" t="s">
        <v>5</v>
      </c>
    </row>
    <row r="30" spans="1:21" ht="41.25" customHeight="1" x14ac:dyDescent="0.35">
      <c r="A30" s="166"/>
      <c r="B30" s="167"/>
      <c r="C30" s="167"/>
      <c r="D30" s="168" t="s">
        <v>408</v>
      </c>
      <c r="E30" s="179">
        <f t="shared" si="4"/>
        <v>6149000</v>
      </c>
      <c r="F30" s="183"/>
      <c r="G30" s="183">
        <v>6149000</v>
      </c>
      <c r="H30" s="321" t="s">
        <v>860</v>
      </c>
      <c r="I30" s="359" t="s">
        <v>678</v>
      </c>
      <c r="J30" s="342" t="s">
        <v>871</v>
      </c>
      <c r="K30" s="183">
        <v>6130000</v>
      </c>
      <c r="L30" s="179">
        <f t="shared" si="5"/>
        <v>19000</v>
      </c>
      <c r="M30" s="228">
        <v>0</v>
      </c>
      <c r="N30" s="179">
        <f>G30-M30</f>
        <v>6149000</v>
      </c>
      <c r="O30" s="181">
        <f t="shared" si="1"/>
        <v>0</v>
      </c>
      <c r="P30" s="208" t="s">
        <v>5</v>
      </c>
    </row>
    <row r="31" spans="1:21" ht="21" hidden="1" x14ac:dyDescent="0.3">
      <c r="A31" s="892" t="s">
        <v>409</v>
      </c>
      <c r="B31" s="892"/>
      <c r="C31" s="892"/>
      <c r="D31" s="892"/>
      <c r="E31" s="184">
        <f>E33</f>
        <v>150779600</v>
      </c>
      <c r="F31" s="184">
        <f>F33</f>
        <v>122072100</v>
      </c>
      <c r="G31" s="184">
        <f>G33</f>
        <v>28707500</v>
      </c>
      <c r="H31" s="450"/>
      <c r="I31" s="373"/>
      <c r="J31" s="373"/>
      <c r="K31" s="184"/>
      <c r="L31" s="184"/>
      <c r="M31" s="184">
        <f>M33</f>
        <v>4326220</v>
      </c>
      <c r="N31" s="184">
        <f>N33</f>
        <v>146453380</v>
      </c>
      <c r="O31" s="232">
        <f>M31*100/E31</f>
        <v>2.8692342996002114</v>
      </c>
      <c r="P31" s="209"/>
    </row>
    <row r="32" spans="1:21" ht="21" x14ac:dyDescent="0.3">
      <c r="A32" s="892" t="s">
        <v>409</v>
      </c>
      <c r="B32" s="892"/>
      <c r="C32" s="892"/>
      <c r="D32" s="892"/>
      <c r="E32" s="184">
        <f>F32+G32</f>
        <v>119135900</v>
      </c>
      <c r="F32" s="184">
        <f>F34</f>
        <v>90428400</v>
      </c>
      <c r="G32" s="184">
        <f>G34</f>
        <v>28707500</v>
      </c>
      <c r="H32" s="450"/>
      <c r="I32" s="373"/>
      <c r="J32" s="373"/>
      <c r="K32" s="232">
        <f>K34</f>
        <v>19822814.050000001</v>
      </c>
      <c r="L32" s="232">
        <f>L34</f>
        <v>17065385.949999999</v>
      </c>
      <c r="M32" s="184">
        <f>M34</f>
        <v>4326220</v>
      </c>
      <c r="N32" s="184">
        <f>N34</f>
        <v>114809680</v>
      </c>
      <c r="O32" s="232">
        <f>M32*100/E32</f>
        <v>3.6313319494795437</v>
      </c>
      <c r="P32" s="209"/>
    </row>
    <row r="33" spans="1:16" s="182" customFormat="1" ht="21" hidden="1" x14ac:dyDescent="0.35">
      <c r="A33" s="185"/>
      <c r="B33" s="836" t="s">
        <v>410</v>
      </c>
      <c r="C33" s="836"/>
      <c r="D33" s="837"/>
      <c r="E33" s="163">
        <f>F33+G33</f>
        <v>150779600</v>
      </c>
      <c r="F33" s="163">
        <f>F35+F51+F65</f>
        <v>122072100</v>
      </c>
      <c r="G33" s="163">
        <f>G35+G51+G65</f>
        <v>28707500</v>
      </c>
      <c r="H33" s="451"/>
      <c r="I33" s="374"/>
      <c r="J33" s="374"/>
      <c r="K33" s="163"/>
      <c r="L33" s="163"/>
      <c r="M33" s="163">
        <f>M37+M51+M65</f>
        <v>4326220</v>
      </c>
      <c r="N33" s="163">
        <f>N35+N51+N65</f>
        <v>146453380</v>
      </c>
      <c r="O33" s="232">
        <f>M33*100/E33</f>
        <v>2.8692342996002114</v>
      </c>
      <c r="P33" s="211"/>
    </row>
    <row r="34" spans="1:16" s="182" customFormat="1" ht="21" x14ac:dyDescent="0.35">
      <c r="A34" s="185"/>
      <c r="B34" s="836" t="s">
        <v>410</v>
      </c>
      <c r="C34" s="836"/>
      <c r="D34" s="837"/>
      <c r="E34" s="163">
        <f>E37+E51+E65</f>
        <v>119135900</v>
      </c>
      <c r="F34" s="163">
        <f t="shared" ref="F34:G34" si="6">F37+F51+F65</f>
        <v>90428400</v>
      </c>
      <c r="G34" s="163">
        <f t="shared" si="6"/>
        <v>28707500</v>
      </c>
      <c r="H34" s="451"/>
      <c r="I34" s="374"/>
      <c r="J34" s="374"/>
      <c r="K34" s="239">
        <f t="shared" ref="K34:L34" si="7">K37+K51+K65</f>
        <v>19822814.050000001</v>
      </c>
      <c r="L34" s="239">
        <f t="shared" si="7"/>
        <v>17065385.949999999</v>
      </c>
      <c r="M34" s="163">
        <f>M37+M51+M65</f>
        <v>4326220</v>
      </c>
      <c r="N34" s="163">
        <f>E34-M34</f>
        <v>114809680</v>
      </c>
      <c r="O34" s="232">
        <f>M34*100/E34</f>
        <v>3.6313319494795437</v>
      </c>
      <c r="P34" s="211"/>
    </row>
    <row r="35" spans="1:16" ht="37.5" hidden="1" x14ac:dyDescent="0.35">
      <c r="A35" s="187"/>
      <c r="B35" s="188"/>
      <c r="C35" s="893" t="s">
        <v>411</v>
      </c>
      <c r="D35" s="894"/>
      <c r="E35" s="179">
        <f>F35+G35</f>
        <v>139585700</v>
      </c>
      <c r="F35" s="179">
        <f>F36+F37</f>
        <v>115699700</v>
      </c>
      <c r="G35" s="179">
        <f>G37</f>
        <v>23886000</v>
      </c>
      <c r="H35" s="321"/>
      <c r="I35" s="324"/>
      <c r="J35" s="324"/>
      <c r="K35" s="179"/>
      <c r="L35" s="179"/>
      <c r="M35" s="228">
        <f>M38+M39</f>
        <v>2866320</v>
      </c>
      <c r="N35" s="228">
        <f>E35-M35</f>
        <v>136719380</v>
      </c>
      <c r="O35" s="234">
        <f>M35*100/E35</f>
        <v>2.0534481684012045</v>
      </c>
      <c r="P35" s="208" t="s">
        <v>412</v>
      </c>
    </row>
    <row r="36" spans="1:16" ht="21" hidden="1" x14ac:dyDescent="0.35">
      <c r="A36" s="187"/>
      <c r="B36" s="188"/>
      <c r="C36" s="443"/>
      <c r="D36" s="444"/>
      <c r="E36" s="179"/>
      <c r="F36" s="179">
        <v>31643700</v>
      </c>
      <c r="G36" s="179">
        <v>0</v>
      </c>
      <c r="H36" s="321"/>
      <c r="I36" s="324"/>
      <c r="J36" s="324"/>
      <c r="K36" s="179"/>
      <c r="L36" s="179"/>
      <c r="M36" s="228"/>
      <c r="N36" s="228"/>
      <c r="O36" s="234"/>
      <c r="P36" s="208"/>
    </row>
    <row r="37" spans="1:16" s="253" customFormat="1" ht="37.5" x14ac:dyDescent="0.35">
      <c r="A37" s="259"/>
      <c r="B37" s="260"/>
      <c r="C37" s="446"/>
      <c r="D37" s="445" t="s">
        <v>625</v>
      </c>
      <c r="E37" s="273">
        <f>F37+G37</f>
        <v>107942000</v>
      </c>
      <c r="F37" s="273">
        <f>F38</f>
        <v>84056000</v>
      </c>
      <c r="G37" s="273">
        <f>G39</f>
        <v>23886000</v>
      </c>
      <c r="H37" s="449"/>
      <c r="I37" s="371"/>
      <c r="J37" s="371"/>
      <c r="K37" s="463">
        <f>K39</f>
        <v>16606314.050000001</v>
      </c>
      <c r="L37" s="463">
        <f>L39+L38</f>
        <v>15810385.949999999</v>
      </c>
      <c r="M37" s="273">
        <f>M38+M39</f>
        <v>2866320</v>
      </c>
      <c r="N37" s="273">
        <f>E37-M37</f>
        <v>105075680</v>
      </c>
      <c r="O37" s="463">
        <f>M37*100/E37</f>
        <v>2.655426062144485</v>
      </c>
      <c r="P37" s="262" t="s">
        <v>412</v>
      </c>
    </row>
    <row r="38" spans="1:16" ht="45" customHeight="1" x14ac:dyDescent="0.35">
      <c r="A38" s="187"/>
      <c r="B38" s="188"/>
      <c r="C38" s="443"/>
      <c r="D38" s="444" t="s">
        <v>81</v>
      </c>
      <c r="E38" s="179"/>
      <c r="F38" s="179">
        <v>84056000</v>
      </c>
      <c r="G38" s="179"/>
      <c r="H38" s="321" t="s">
        <v>862</v>
      </c>
      <c r="I38" s="324"/>
      <c r="J38" s="324"/>
      <c r="K38" s="179"/>
      <c r="L38" s="179">
        <v>0</v>
      </c>
      <c r="M38" s="228">
        <f>193600+196400+407520+407520+407520+112400+404690+157920</f>
        <v>2287570</v>
      </c>
      <c r="N38" s="179">
        <f>F38-M38</f>
        <v>81768430</v>
      </c>
      <c r="O38" s="234">
        <f>M38*100/F38</f>
        <v>2.7214832968497191</v>
      </c>
      <c r="P38" s="208"/>
    </row>
    <row r="39" spans="1:16" ht="21" x14ac:dyDescent="0.35">
      <c r="A39" s="187"/>
      <c r="B39" s="188"/>
      <c r="C39" s="443"/>
      <c r="D39" s="444" t="s">
        <v>80</v>
      </c>
      <c r="E39" s="179"/>
      <c r="F39" s="179"/>
      <c r="G39" s="179">
        <f>G40+G41+G42+G43+G44+G45+G46+G47+G48+G49+G50</f>
        <v>23886000</v>
      </c>
      <c r="H39" s="321"/>
      <c r="I39" s="324"/>
      <c r="J39" s="324"/>
      <c r="K39" s="234">
        <f>K40+K41+K42+K43+K44+K45+K46+K47+K48+K49+K50</f>
        <v>16606314.050000001</v>
      </c>
      <c r="L39" s="234">
        <f>L40+L41+L42+L43+L44+L45+L46+L47+L48+L49+L50</f>
        <v>15810385.949999999</v>
      </c>
      <c r="M39" s="228">
        <f>M40+M41+M42+M43+M44+M45+M46+M47+M49+M48+M50</f>
        <v>578750</v>
      </c>
      <c r="N39" s="179">
        <f t="shared" ref="N39:N50" si="8">G39-M39</f>
        <v>23307250</v>
      </c>
      <c r="O39" s="234">
        <f t="shared" ref="O39:O50" si="9">M39*100/G39</f>
        <v>2.4229674286192751</v>
      </c>
      <c r="P39" s="208"/>
    </row>
    <row r="40" spans="1:16" ht="46.5" customHeight="1" x14ac:dyDescent="0.35">
      <c r="A40" s="187"/>
      <c r="B40" s="188"/>
      <c r="C40" s="443"/>
      <c r="D40" s="444" t="s">
        <v>576</v>
      </c>
      <c r="E40" s="179"/>
      <c r="F40" s="179"/>
      <c r="G40" s="179">
        <v>1125000</v>
      </c>
      <c r="H40" s="452" t="s">
        <v>637</v>
      </c>
      <c r="I40" s="406"/>
      <c r="J40" s="324"/>
      <c r="K40" s="179"/>
      <c r="L40" s="179">
        <v>0</v>
      </c>
      <c r="M40" s="228">
        <v>0</v>
      </c>
      <c r="N40" s="179">
        <f t="shared" si="8"/>
        <v>1125000</v>
      </c>
      <c r="O40" s="179">
        <f t="shared" si="9"/>
        <v>0</v>
      </c>
      <c r="P40" s="208"/>
    </row>
    <row r="41" spans="1:16" ht="42" x14ac:dyDescent="0.35">
      <c r="A41" s="187"/>
      <c r="B41" s="188"/>
      <c r="C41" s="443"/>
      <c r="D41" s="444" t="s">
        <v>577</v>
      </c>
      <c r="E41" s="179"/>
      <c r="F41" s="179"/>
      <c r="G41" s="179">
        <v>600000</v>
      </c>
      <c r="H41" s="321" t="s">
        <v>860</v>
      </c>
      <c r="I41" s="361" t="s">
        <v>730</v>
      </c>
      <c r="J41" s="342" t="s">
        <v>731</v>
      </c>
      <c r="K41" s="179">
        <v>535000</v>
      </c>
      <c r="L41" s="179">
        <f t="shared" ref="L41:L49" si="10">G41-K41</f>
        <v>65000</v>
      </c>
      <c r="M41" s="228">
        <v>0</v>
      </c>
      <c r="N41" s="179">
        <f t="shared" si="8"/>
        <v>600000</v>
      </c>
      <c r="O41" s="179">
        <f t="shared" si="9"/>
        <v>0</v>
      </c>
      <c r="P41" s="208"/>
    </row>
    <row r="42" spans="1:16" ht="42" x14ac:dyDescent="0.35">
      <c r="A42" s="187"/>
      <c r="B42" s="188"/>
      <c r="C42" s="443"/>
      <c r="D42" s="444" t="s">
        <v>578</v>
      </c>
      <c r="E42" s="179"/>
      <c r="F42" s="179"/>
      <c r="G42" s="179">
        <v>500000</v>
      </c>
      <c r="H42" s="321" t="s">
        <v>860</v>
      </c>
      <c r="I42" s="361" t="s">
        <v>730</v>
      </c>
      <c r="J42" s="342" t="s">
        <v>731</v>
      </c>
      <c r="K42" s="179">
        <v>361125</v>
      </c>
      <c r="L42" s="179">
        <f t="shared" si="10"/>
        <v>138875</v>
      </c>
      <c r="M42" s="228">
        <v>0</v>
      </c>
      <c r="N42" s="179">
        <f t="shared" si="8"/>
        <v>500000</v>
      </c>
      <c r="O42" s="179">
        <f t="shared" si="9"/>
        <v>0</v>
      </c>
      <c r="P42" s="208"/>
    </row>
    <row r="43" spans="1:16" ht="55.5" customHeight="1" x14ac:dyDescent="0.35">
      <c r="A43" s="187"/>
      <c r="B43" s="188"/>
      <c r="C43" s="443"/>
      <c r="D43" s="444" t="s">
        <v>579</v>
      </c>
      <c r="E43" s="179"/>
      <c r="F43" s="179"/>
      <c r="G43" s="179">
        <v>2375000</v>
      </c>
      <c r="H43" s="452" t="s">
        <v>637</v>
      </c>
      <c r="I43" s="324"/>
      <c r="J43" s="324"/>
      <c r="K43" s="179"/>
      <c r="L43" s="179">
        <v>0</v>
      </c>
      <c r="M43" s="228">
        <v>0</v>
      </c>
      <c r="N43" s="179">
        <f t="shared" si="8"/>
        <v>2375000</v>
      </c>
      <c r="O43" s="179">
        <f t="shared" si="9"/>
        <v>0</v>
      </c>
      <c r="P43" s="208"/>
    </row>
    <row r="44" spans="1:16" ht="42" x14ac:dyDescent="0.35">
      <c r="A44" s="187"/>
      <c r="B44" s="188"/>
      <c r="C44" s="443"/>
      <c r="D44" s="444" t="s">
        <v>580</v>
      </c>
      <c r="E44" s="179"/>
      <c r="F44" s="179"/>
      <c r="G44" s="179">
        <v>500000</v>
      </c>
      <c r="H44" s="321" t="s">
        <v>860</v>
      </c>
      <c r="I44" s="361" t="s">
        <v>730</v>
      </c>
      <c r="J44" s="342" t="s">
        <v>731</v>
      </c>
      <c r="K44" s="179">
        <v>428000</v>
      </c>
      <c r="L44" s="179">
        <f t="shared" si="10"/>
        <v>72000</v>
      </c>
      <c r="M44" s="228">
        <v>0</v>
      </c>
      <c r="N44" s="179">
        <f t="shared" si="8"/>
        <v>500000</v>
      </c>
      <c r="O44" s="179">
        <f t="shared" si="9"/>
        <v>0</v>
      </c>
      <c r="P44" s="208"/>
    </row>
    <row r="45" spans="1:16" ht="41.25" customHeight="1" x14ac:dyDescent="0.35">
      <c r="A45" s="187"/>
      <c r="B45" s="188"/>
      <c r="C45" s="443"/>
      <c r="D45" s="444" t="s">
        <v>581</v>
      </c>
      <c r="E45" s="179"/>
      <c r="F45" s="179"/>
      <c r="G45" s="179">
        <v>375000</v>
      </c>
      <c r="H45" s="321" t="s">
        <v>860</v>
      </c>
      <c r="I45" s="361" t="s">
        <v>732</v>
      </c>
      <c r="J45" s="342" t="s">
        <v>733</v>
      </c>
      <c r="K45" s="179">
        <v>235000</v>
      </c>
      <c r="L45" s="179">
        <f t="shared" si="10"/>
        <v>140000</v>
      </c>
      <c r="M45" s="228">
        <v>0</v>
      </c>
      <c r="N45" s="179">
        <f t="shared" si="8"/>
        <v>375000</v>
      </c>
      <c r="O45" s="179">
        <f t="shared" si="9"/>
        <v>0</v>
      </c>
      <c r="P45" s="208"/>
    </row>
    <row r="46" spans="1:16" ht="37.5" x14ac:dyDescent="0.35">
      <c r="A46" s="166"/>
      <c r="B46" s="167"/>
      <c r="C46" s="337"/>
      <c r="D46" s="168" t="s">
        <v>582</v>
      </c>
      <c r="E46" s="179"/>
      <c r="F46" s="179"/>
      <c r="G46" s="179">
        <v>400000</v>
      </c>
      <c r="H46" s="321" t="s">
        <v>353</v>
      </c>
      <c r="I46" s="321" t="s">
        <v>686</v>
      </c>
      <c r="J46" s="342" t="s">
        <v>685</v>
      </c>
      <c r="K46" s="179">
        <v>400000</v>
      </c>
      <c r="L46" s="179">
        <f t="shared" si="10"/>
        <v>0</v>
      </c>
      <c r="M46" s="228">
        <v>400000</v>
      </c>
      <c r="N46" s="179">
        <f t="shared" si="8"/>
        <v>0</v>
      </c>
      <c r="O46" s="234">
        <f t="shared" si="9"/>
        <v>100</v>
      </c>
      <c r="P46" s="208"/>
    </row>
    <row r="47" spans="1:16" ht="37.5" x14ac:dyDescent="0.35">
      <c r="A47" s="187"/>
      <c r="B47" s="188"/>
      <c r="C47" s="443"/>
      <c r="D47" s="444" t="s">
        <v>560</v>
      </c>
      <c r="E47" s="179"/>
      <c r="F47" s="179"/>
      <c r="G47" s="179">
        <v>87500</v>
      </c>
      <c r="H47" s="321" t="s">
        <v>353</v>
      </c>
      <c r="I47" s="321" t="s">
        <v>686</v>
      </c>
      <c r="J47" s="342" t="s">
        <v>685</v>
      </c>
      <c r="K47" s="179">
        <v>82500</v>
      </c>
      <c r="L47" s="179">
        <f>G47-K47</f>
        <v>5000</v>
      </c>
      <c r="M47" s="228">
        <v>82500</v>
      </c>
      <c r="N47" s="179">
        <f t="shared" si="8"/>
        <v>5000</v>
      </c>
      <c r="O47" s="234">
        <v>100</v>
      </c>
      <c r="P47" s="208"/>
    </row>
    <row r="48" spans="1:16" ht="34.5" x14ac:dyDescent="0.35">
      <c r="A48" s="187"/>
      <c r="B48" s="188"/>
      <c r="C48" s="443"/>
      <c r="D48" s="444" t="s">
        <v>583</v>
      </c>
      <c r="E48" s="179"/>
      <c r="F48" s="179"/>
      <c r="G48" s="179">
        <v>137500</v>
      </c>
      <c r="H48" s="321" t="s">
        <v>353</v>
      </c>
      <c r="I48" s="361" t="s">
        <v>688</v>
      </c>
      <c r="J48" s="342" t="s">
        <v>734</v>
      </c>
      <c r="K48" s="179">
        <v>96250</v>
      </c>
      <c r="L48" s="179">
        <f t="shared" si="10"/>
        <v>41250</v>
      </c>
      <c r="M48" s="228">
        <v>96250</v>
      </c>
      <c r="N48" s="179">
        <f t="shared" si="8"/>
        <v>41250</v>
      </c>
      <c r="O48" s="234">
        <v>100</v>
      </c>
      <c r="P48" s="208"/>
    </row>
    <row r="49" spans="1:16" ht="39.75" customHeight="1" x14ac:dyDescent="0.35">
      <c r="A49" s="187"/>
      <c r="B49" s="188"/>
      <c r="C49" s="443"/>
      <c r="D49" s="444" t="s">
        <v>587</v>
      </c>
      <c r="E49" s="179"/>
      <c r="F49" s="179"/>
      <c r="G49" s="179">
        <v>450000</v>
      </c>
      <c r="H49" s="321" t="s">
        <v>860</v>
      </c>
      <c r="I49" s="361" t="s">
        <v>730</v>
      </c>
      <c r="J49" s="342" t="s">
        <v>731</v>
      </c>
      <c r="K49" s="179">
        <v>347750</v>
      </c>
      <c r="L49" s="179">
        <f t="shared" si="10"/>
        <v>102250</v>
      </c>
      <c r="M49" s="228">
        <v>0</v>
      </c>
      <c r="N49" s="179">
        <f t="shared" si="8"/>
        <v>450000</v>
      </c>
      <c r="O49" s="179">
        <f t="shared" si="9"/>
        <v>0</v>
      </c>
      <c r="P49" s="208"/>
    </row>
    <row r="50" spans="1:16" ht="47.25" x14ac:dyDescent="0.35">
      <c r="A50" s="187"/>
      <c r="B50" s="188"/>
      <c r="C50" s="443"/>
      <c r="D50" s="444" t="s">
        <v>588</v>
      </c>
      <c r="E50" s="179"/>
      <c r="F50" s="179"/>
      <c r="G50" s="179">
        <v>17336000</v>
      </c>
      <c r="H50" s="321" t="s">
        <v>860</v>
      </c>
      <c r="I50" s="361" t="s">
        <v>728</v>
      </c>
      <c r="J50" s="342" t="s">
        <v>729</v>
      </c>
      <c r="K50" s="234">
        <v>14120689.050000001</v>
      </c>
      <c r="L50" s="234">
        <v>15246010.949999999</v>
      </c>
      <c r="M50" s="228">
        <v>0</v>
      </c>
      <c r="N50" s="179">
        <f t="shared" si="8"/>
        <v>17336000</v>
      </c>
      <c r="O50" s="179">
        <f t="shared" si="9"/>
        <v>0</v>
      </c>
      <c r="P50" s="208"/>
    </row>
    <row r="51" spans="1:16" s="258" customFormat="1" ht="37.5" x14ac:dyDescent="0.35">
      <c r="A51" s="329"/>
      <c r="B51" s="330"/>
      <c r="C51" s="895" t="s">
        <v>413</v>
      </c>
      <c r="D51" s="896"/>
      <c r="E51" s="273">
        <f>F51+G51</f>
        <v>6261900</v>
      </c>
      <c r="F51" s="256">
        <f>F52</f>
        <v>4690400</v>
      </c>
      <c r="G51" s="256">
        <f>G53</f>
        <v>1571500</v>
      </c>
      <c r="H51" s="449"/>
      <c r="I51" s="371"/>
      <c r="J51" s="371"/>
      <c r="K51" s="256">
        <f>K53</f>
        <v>1219500</v>
      </c>
      <c r="L51" s="256">
        <f>L53+L52</f>
        <v>2000</v>
      </c>
      <c r="M51" s="256">
        <f>M52+M53</f>
        <v>1459900</v>
      </c>
      <c r="N51" s="256">
        <f>E51-M51</f>
        <v>4802000</v>
      </c>
      <c r="O51" s="331">
        <f>M51*100/E51</f>
        <v>23.314010124722529</v>
      </c>
      <c r="P51" s="257" t="s">
        <v>414</v>
      </c>
    </row>
    <row r="52" spans="1:16" ht="37.5" x14ac:dyDescent="0.35">
      <c r="A52" s="187"/>
      <c r="B52" s="188"/>
      <c r="C52" s="443"/>
      <c r="D52" s="444" t="s">
        <v>81</v>
      </c>
      <c r="E52" s="179"/>
      <c r="F52" s="235">
        <v>4690400</v>
      </c>
      <c r="G52" s="235"/>
      <c r="H52" s="321" t="s">
        <v>862</v>
      </c>
      <c r="I52" s="375"/>
      <c r="J52" s="375"/>
      <c r="K52" s="235"/>
      <c r="L52" s="235"/>
      <c r="M52" s="236">
        <f>38800+55200+71000+75400</f>
        <v>240400</v>
      </c>
      <c r="N52" s="235">
        <f>F52-M52</f>
        <v>4450000</v>
      </c>
      <c r="O52" s="240">
        <f>M52*100/F52</f>
        <v>5.1253624424356135</v>
      </c>
      <c r="P52" s="213"/>
    </row>
    <row r="53" spans="1:16" ht="21" x14ac:dyDescent="0.35">
      <c r="A53" s="187"/>
      <c r="B53" s="188"/>
      <c r="C53" s="443"/>
      <c r="D53" s="444" t="s">
        <v>80</v>
      </c>
      <c r="E53" s="179"/>
      <c r="F53" s="235"/>
      <c r="G53" s="235">
        <f>G54+G55+G56+G57+G58+G59+G60+G61+G62+G63+G64</f>
        <v>1571500</v>
      </c>
      <c r="H53" s="327"/>
      <c r="I53" s="375"/>
      <c r="J53" s="375"/>
      <c r="K53" s="235">
        <f>K54+K55+K56+K57+K58+K59+K60+K61+K62+K63+K64</f>
        <v>1219500</v>
      </c>
      <c r="L53" s="235">
        <f>L54+L55+L56+L57+L58+L59+L60+L61+L62+L63+L64</f>
        <v>2000</v>
      </c>
      <c r="M53" s="236">
        <f>M54+M55+M56+M57+M58+M59+M60+M61+M62+M63+M64</f>
        <v>1219500</v>
      </c>
      <c r="N53" s="235">
        <f t="shared" ref="N53:N64" si="11">G53-M53</f>
        <v>352000</v>
      </c>
      <c r="O53" s="240">
        <f t="shared" ref="O53:O64" si="12">M53*100/G53</f>
        <v>77.601018135539292</v>
      </c>
      <c r="P53" s="213"/>
    </row>
    <row r="54" spans="1:16" ht="40.5" customHeight="1" x14ac:dyDescent="0.35">
      <c r="A54" s="187"/>
      <c r="B54" s="188"/>
      <c r="C54" s="443"/>
      <c r="D54" s="444" t="s">
        <v>568</v>
      </c>
      <c r="E54" s="179"/>
      <c r="F54" s="179"/>
      <c r="G54" s="179">
        <v>50000</v>
      </c>
      <c r="H54" s="321" t="s">
        <v>353</v>
      </c>
      <c r="I54" s="327" t="s">
        <v>700</v>
      </c>
      <c r="J54" s="342" t="s">
        <v>701</v>
      </c>
      <c r="K54" s="235">
        <v>50000</v>
      </c>
      <c r="L54" s="235">
        <f>G54-K54</f>
        <v>0</v>
      </c>
      <c r="M54" s="236">
        <v>50000</v>
      </c>
      <c r="N54" s="235">
        <f t="shared" si="11"/>
        <v>0</v>
      </c>
      <c r="O54" s="240">
        <f t="shared" si="12"/>
        <v>100</v>
      </c>
      <c r="P54" s="213"/>
    </row>
    <row r="55" spans="1:16" ht="67.5" customHeight="1" x14ac:dyDescent="0.35">
      <c r="A55" s="187"/>
      <c r="B55" s="188"/>
      <c r="C55" s="443"/>
      <c r="D55" s="444" t="s">
        <v>569</v>
      </c>
      <c r="E55" s="179"/>
      <c r="F55" s="179"/>
      <c r="G55" s="179">
        <v>130000</v>
      </c>
      <c r="H55" s="321" t="s">
        <v>353</v>
      </c>
      <c r="I55" s="327" t="s">
        <v>700</v>
      </c>
      <c r="J55" s="342" t="s">
        <v>701</v>
      </c>
      <c r="K55" s="235">
        <v>129500</v>
      </c>
      <c r="L55" s="235">
        <f t="shared" ref="L55:L63" si="13">G55-K55</f>
        <v>500</v>
      </c>
      <c r="M55" s="236">
        <v>129500</v>
      </c>
      <c r="N55" s="235">
        <v>0</v>
      </c>
      <c r="O55" s="240">
        <v>100</v>
      </c>
      <c r="P55" s="213"/>
    </row>
    <row r="56" spans="1:16" ht="37.5" x14ac:dyDescent="0.35">
      <c r="A56" s="187"/>
      <c r="B56" s="188"/>
      <c r="C56" s="443"/>
      <c r="D56" s="444" t="s">
        <v>570</v>
      </c>
      <c r="E56" s="179"/>
      <c r="F56" s="179"/>
      <c r="G56" s="179">
        <v>30000</v>
      </c>
      <c r="H56" s="321" t="s">
        <v>353</v>
      </c>
      <c r="I56" s="327" t="s">
        <v>700</v>
      </c>
      <c r="J56" s="342" t="s">
        <v>701</v>
      </c>
      <c r="K56" s="235">
        <v>30000</v>
      </c>
      <c r="L56" s="235">
        <f t="shared" si="13"/>
        <v>0</v>
      </c>
      <c r="M56" s="236">
        <v>30000</v>
      </c>
      <c r="N56" s="235">
        <f t="shared" si="11"/>
        <v>0</v>
      </c>
      <c r="O56" s="240">
        <f t="shared" si="12"/>
        <v>100</v>
      </c>
      <c r="P56" s="213"/>
    </row>
    <row r="57" spans="1:16" ht="37.5" x14ac:dyDescent="0.35">
      <c r="A57" s="187"/>
      <c r="B57" s="188"/>
      <c r="C57" s="443"/>
      <c r="D57" s="444" t="s">
        <v>573</v>
      </c>
      <c r="E57" s="179"/>
      <c r="F57" s="179"/>
      <c r="G57" s="179">
        <v>25000</v>
      </c>
      <c r="H57" s="321" t="s">
        <v>353</v>
      </c>
      <c r="I57" s="327" t="s">
        <v>700</v>
      </c>
      <c r="J57" s="342" t="s">
        <v>701</v>
      </c>
      <c r="K57" s="235">
        <v>24500</v>
      </c>
      <c r="L57" s="235">
        <f t="shared" si="13"/>
        <v>500</v>
      </c>
      <c r="M57" s="236">
        <v>24500</v>
      </c>
      <c r="N57" s="235">
        <v>0</v>
      </c>
      <c r="O57" s="240">
        <v>100</v>
      </c>
      <c r="P57" s="213"/>
    </row>
    <row r="58" spans="1:16" ht="37.5" x14ac:dyDescent="0.35">
      <c r="A58" s="187"/>
      <c r="B58" s="188"/>
      <c r="C58" s="443"/>
      <c r="D58" s="444" t="s">
        <v>571</v>
      </c>
      <c r="E58" s="179"/>
      <c r="F58" s="179"/>
      <c r="G58" s="179">
        <v>32000</v>
      </c>
      <c r="H58" s="321" t="s">
        <v>353</v>
      </c>
      <c r="I58" s="327" t="s">
        <v>700</v>
      </c>
      <c r="J58" s="342" t="s">
        <v>701</v>
      </c>
      <c r="K58" s="235">
        <v>32000</v>
      </c>
      <c r="L58" s="235">
        <f t="shared" si="13"/>
        <v>0</v>
      </c>
      <c r="M58" s="236">
        <v>32000</v>
      </c>
      <c r="N58" s="235">
        <f t="shared" si="11"/>
        <v>0</v>
      </c>
      <c r="O58" s="240">
        <f t="shared" si="12"/>
        <v>100</v>
      </c>
      <c r="P58" s="213"/>
    </row>
    <row r="59" spans="1:16" ht="37.5" x14ac:dyDescent="0.35">
      <c r="A59" s="187"/>
      <c r="B59" s="188"/>
      <c r="C59" s="443"/>
      <c r="D59" s="444" t="s">
        <v>572</v>
      </c>
      <c r="E59" s="179"/>
      <c r="F59" s="235"/>
      <c r="G59" s="235">
        <v>24500</v>
      </c>
      <c r="H59" s="321" t="s">
        <v>353</v>
      </c>
      <c r="I59" s="327" t="s">
        <v>700</v>
      </c>
      <c r="J59" s="342" t="s">
        <v>701</v>
      </c>
      <c r="K59" s="235">
        <v>24500</v>
      </c>
      <c r="L59" s="235">
        <f t="shared" si="13"/>
        <v>0</v>
      </c>
      <c r="M59" s="236">
        <v>24500</v>
      </c>
      <c r="N59" s="235">
        <f t="shared" si="11"/>
        <v>0</v>
      </c>
      <c r="O59" s="240">
        <f t="shared" si="12"/>
        <v>100</v>
      </c>
      <c r="P59" s="213"/>
    </row>
    <row r="60" spans="1:16" ht="38.25" customHeight="1" x14ac:dyDescent="0.35">
      <c r="A60" s="187"/>
      <c r="B60" s="188"/>
      <c r="C60" s="443"/>
      <c r="D60" s="444" t="s">
        <v>574</v>
      </c>
      <c r="E60" s="179"/>
      <c r="F60" s="235"/>
      <c r="G60" s="235">
        <v>10000</v>
      </c>
      <c r="H60" s="321" t="s">
        <v>353</v>
      </c>
      <c r="I60" s="327" t="s">
        <v>700</v>
      </c>
      <c r="J60" s="342" t="s">
        <v>701</v>
      </c>
      <c r="K60" s="235">
        <v>10000</v>
      </c>
      <c r="L60" s="235">
        <f t="shared" si="13"/>
        <v>0</v>
      </c>
      <c r="M60" s="236">
        <v>10000</v>
      </c>
      <c r="N60" s="235">
        <f t="shared" si="11"/>
        <v>0</v>
      </c>
      <c r="O60" s="240">
        <f t="shared" si="12"/>
        <v>100</v>
      </c>
      <c r="P60" s="213"/>
    </row>
    <row r="61" spans="1:16" ht="42.75" customHeight="1" x14ac:dyDescent="0.35">
      <c r="A61" s="187"/>
      <c r="B61" s="188"/>
      <c r="C61" s="443"/>
      <c r="D61" s="444" t="s">
        <v>575</v>
      </c>
      <c r="E61" s="179"/>
      <c r="F61" s="235"/>
      <c r="G61" s="235">
        <v>450000</v>
      </c>
      <c r="H61" s="321" t="s">
        <v>353</v>
      </c>
      <c r="I61" s="327" t="s">
        <v>700</v>
      </c>
      <c r="J61" s="342" t="s">
        <v>701</v>
      </c>
      <c r="K61" s="235">
        <v>449000</v>
      </c>
      <c r="L61" s="235">
        <f t="shared" si="13"/>
        <v>1000</v>
      </c>
      <c r="M61" s="236">
        <v>449000</v>
      </c>
      <c r="N61" s="235">
        <v>0</v>
      </c>
      <c r="O61" s="240">
        <v>100</v>
      </c>
      <c r="P61" s="213"/>
    </row>
    <row r="62" spans="1:16" ht="48.75" customHeight="1" x14ac:dyDescent="0.35">
      <c r="A62" s="187"/>
      <c r="B62" s="188"/>
      <c r="C62" s="443"/>
      <c r="D62" s="444" t="s">
        <v>585</v>
      </c>
      <c r="E62" s="179"/>
      <c r="F62" s="235"/>
      <c r="G62" s="235">
        <v>40000</v>
      </c>
      <c r="H62" s="321" t="s">
        <v>353</v>
      </c>
      <c r="I62" s="327" t="s">
        <v>700</v>
      </c>
      <c r="J62" s="342" t="s">
        <v>701</v>
      </c>
      <c r="K62" s="235">
        <v>40000</v>
      </c>
      <c r="L62" s="235">
        <f t="shared" si="13"/>
        <v>0</v>
      </c>
      <c r="M62" s="236">
        <v>40000</v>
      </c>
      <c r="N62" s="235">
        <f t="shared" si="11"/>
        <v>0</v>
      </c>
      <c r="O62" s="240">
        <f t="shared" si="12"/>
        <v>100</v>
      </c>
      <c r="P62" s="213"/>
    </row>
    <row r="63" spans="1:16" ht="63" x14ac:dyDescent="0.35">
      <c r="A63" s="187"/>
      <c r="B63" s="188"/>
      <c r="C63" s="443"/>
      <c r="D63" s="444" t="s">
        <v>586</v>
      </c>
      <c r="E63" s="179"/>
      <c r="F63" s="235"/>
      <c r="G63" s="235">
        <v>430000</v>
      </c>
      <c r="H63" s="321" t="s">
        <v>353</v>
      </c>
      <c r="I63" s="327" t="s">
        <v>700</v>
      </c>
      <c r="J63" s="342" t="s">
        <v>701</v>
      </c>
      <c r="K63" s="235">
        <v>430000</v>
      </c>
      <c r="L63" s="235">
        <f t="shared" si="13"/>
        <v>0</v>
      </c>
      <c r="M63" s="236">
        <v>430000</v>
      </c>
      <c r="N63" s="235">
        <f t="shared" si="11"/>
        <v>0</v>
      </c>
      <c r="O63" s="240">
        <f t="shared" si="12"/>
        <v>100</v>
      </c>
      <c r="P63" s="213"/>
    </row>
    <row r="64" spans="1:16" ht="42" x14ac:dyDescent="0.35">
      <c r="A64" s="187"/>
      <c r="B64" s="188"/>
      <c r="C64" s="443"/>
      <c r="D64" s="444" t="s">
        <v>589</v>
      </c>
      <c r="E64" s="179"/>
      <c r="F64" s="235"/>
      <c r="G64" s="235">
        <v>350000</v>
      </c>
      <c r="H64" s="453" t="s">
        <v>637</v>
      </c>
      <c r="I64" s="327"/>
      <c r="J64" s="342"/>
      <c r="K64" s="235">
        <v>0</v>
      </c>
      <c r="L64" s="235">
        <v>0</v>
      </c>
      <c r="M64" s="236">
        <v>0</v>
      </c>
      <c r="N64" s="235">
        <f t="shared" si="11"/>
        <v>350000</v>
      </c>
      <c r="O64" s="235">
        <f t="shared" si="12"/>
        <v>0</v>
      </c>
      <c r="P64" s="213"/>
    </row>
    <row r="65" spans="1:16" s="258" customFormat="1" ht="41.25" customHeight="1" x14ac:dyDescent="0.35">
      <c r="A65" s="254"/>
      <c r="B65" s="255"/>
      <c r="C65" s="889" t="s">
        <v>415</v>
      </c>
      <c r="D65" s="890"/>
      <c r="E65" s="273">
        <f>F65+G65</f>
        <v>4932000</v>
      </c>
      <c r="F65" s="332">
        <f>F66</f>
        <v>1682000</v>
      </c>
      <c r="G65" s="332">
        <f>G67</f>
        <v>3250000</v>
      </c>
      <c r="H65" s="454"/>
      <c r="I65" s="376"/>
      <c r="J65" s="376"/>
      <c r="K65" s="332">
        <f>K67</f>
        <v>1997000</v>
      </c>
      <c r="L65" s="332">
        <f>L67+L66</f>
        <v>1253000</v>
      </c>
      <c r="M65" s="332">
        <f>M66+M67</f>
        <v>0</v>
      </c>
      <c r="N65" s="332">
        <f>N66+N67</f>
        <v>4932000</v>
      </c>
      <c r="O65" s="332">
        <f>M65*100/E65</f>
        <v>0</v>
      </c>
      <c r="P65" s="333" t="s">
        <v>416</v>
      </c>
    </row>
    <row r="66" spans="1:16" ht="42" customHeight="1" x14ac:dyDescent="0.35">
      <c r="A66" s="187"/>
      <c r="B66" s="171"/>
      <c r="C66" s="237"/>
      <c r="D66" s="168" t="s">
        <v>81</v>
      </c>
      <c r="E66" s="338"/>
      <c r="F66" s="235">
        <v>1682000</v>
      </c>
      <c r="G66" s="235"/>
      <c r="H66" s="321" t="s">
        <v>862</v>
      </c>
      <c r="I66" s="375"/>
      <c r="J66" s="375"/>
      <c r="K66" s="235"/>
      <c r="L66" s="235"/>
      <c r="M66" s="236"/>
      <c r="N66" s="235">
        <f>F66-M66</f>
        <v>1682000</v>
      </c>
      <c r="O66" s="235">
        <f>M66*100/F66</f>
        <v>0</v>
      </c>
      <c r="P66" s="213"/>
    </row>
    <row r="67" spans="1:16" ht="20.25" customHeight="1" x14ac:dyDescent="0.35">
      <c r="A67" s="170"/>
      <c r="B67" s="171"/>
      <c r="C67" s="237"/>
      <c r="D67" s="168" t="s">
        <v>80</v>
      </c>
      <c r="E67" s="338"/>
      <c r="F67" s="235"/>
      <c r="G67" s="235">
        <f>G68</f>
        <v>3250000</v>
      </c>
      <c r="H67" s="327"/>
      <c r="I67" s="375"/>
      <c r="J67" s="375"/>
      <c r="K67" s="235">
        <f>K68</f>
        <v>1997000</v>
      </c>
      <c r="L67" s="235">
        <f>L68</f>
        <v>1253000</v>
      </c>
      <c r="M67" s="236">
        <f>M68</f>
        <v>0</v>
      </c>
      <c r="N67" s="235">
        <f>G67-M67</f>
        <v>3250000</v>
      </c>
      <c r="O67" s="235">
        <f>M67*100/G67</f>
        <v>0</v>
      </c>
      <c r="P67" s="213"/>
    </row>
    <row r="68" spans="1:16" ht="42" customHeight="1" x14ac:dyDescent="0.35">
      <c r="A68" s="193"/>
      <c r="B68" s="194"/>
      <c r="C68" s="339"/>
      <c r="D68" s="168" t="s">
        <v>584</v>
      </c>
      <c r="E68" s="338"/>
      <c r="F68" s="179"/>
      <c r="G68" s="235">
        <v>3250000</v>
      </c>
      <c r="H68" s="321" t="s">
        <v>860</v>
      </c>
      <c r="I68" s="375"/>
      <c r="J68" s="342" t="s">
        <v>919</v>
      </c>
      <c r="K68" s="235">
        <v>1997000</v>
      </c>
      <c r="L68" s="235">
        <f>G68-K68</f>
        <v>1253000</v>
      </c>
      <c r="M68" s="236"/>
      <c r="N68" s="235"/>
      <c r="O68" s="235"/>
      <c r="P68" s="213"/>
    </row>
    <row r="69" spans="1:16" ht="24.75" customHeight="1" x14ac:dyDescent="0.3">
      <c r="A69" s="881" t="s">
        <v>417</v>
      </c>
      <c r="B69" s="881"/>
      <c r="C69" s="881"/>
      <c r="D69" s="881"/>
      <c r="E69" s="184">
        <f>F69</f>
        <v>1400000</v>
      </c>
      <c r="F69" s="184">
        <f>F70+F72</f>
        <v>1400000</v>
      </c>
      <c r="G69" s="184"/>
      <c r="H69" s="450"/>
      <c r="I69" s="373"/>
      <c r="J69" s="373"/>
      <c r="K69" s="184">
        <f>K70+K72</f>
        <v>0</v>
      </c>
      <c r="L69" s="184">
        <f>L70+L72</f>
        <v>0</v>
      </c>
      <c r="M69" s="184">
        <f>M70+M72</f>
        <v>832900</v>
      </c>
      <c r="N69" s="184">
        <f>N70+N72</f>
        <v>567100</v>
      </c>
      <c r="O69" s="232">
        <f>M69*100/E69</f>
        <v>59.49285714285714</v>
      </c>
      <c r="P69" s="209"/>
    </row>
    <row r="70" spans="1:16" s="182" customFormat="1" ht="23.25" customHeight="1" x14ac:dyDescent="0.35">
      <c r="A70" s="185"/>
      <c r="B70" s="836" t="s">
        <v>418</v>
      </c>
      <c r="C70" s="836"/>
      <c r="D70" s="837"/>
      <c r="E70" s="186">
        <f>E71</f>
        <v>1200000</v>
      </c>
      <c r="F70" s="186">
        <f>F71</f>
        <v>1200000</v>
      </c>
      <c r="G70" s="186"/>
      <c r="H70" s="455"/>
      <c r="I70" s="377"/>
      <c r="J70" s="377"/>
      <c r="K70" s="186">
        <f>K71</f>
        <v>0</v>
      </c>
      <c r="L70" s="186">
        <f>L71</f>
        <v>0</v>
      </c>
      <c r="M70" s="186">
        <f>M71</f>
        <v>832900</v>
      </c>
      <c r="N70" s="186">
        <f>N71</f>
        <v>367100</v>
      </c>
      <c r="O70" s="231">
        <f>M70*100/E70</f>
        <v>69.408333333333331</v>
      </c>
      <c r="P70" s="210"/>
    </row>
    <row r="71" spans="1:16" s="253" customFormat="1" ht="42" customHeight="1" x14ac:dyDescent="0.35">
      <c r="A71" s="259"/>
      <c r="B71" s="260"/>
      <c r="C71" s="834" t="s">
        <v>419</v>
      </c>
      <c r="D71" s="835"/>
      <c r="E71" s="266">
        <f>F71</f>
        <v>1200000</v>
      </c>
      <c r="F71" s="266">
        <v>1200000</v>
      </c>
      <c r="G71" s="266"/>
      <c r="H71" s="321" t="s">
        <v>862</v>
      </c>
      <c r="I71" s="378"/>
      <c r="J71" s="378"/>
      <c r="K71" s="266"/>
      <c r="L71" s="266"/>
      <c r="M71" s="266">
        <f>279400+552000+1500</f>
        <v>832900</v>
      </c>
      <c r="N71" s="266">
        <f>F71-M71</f>
        <v>367100</v>
      </c>
      <c r="O71" s="267">
        <f>M71*100/F71</f>
        <v>69.408333333333331</v>
      </c>
      <c r="P71" s="268" t="s">
        <v>420</v>
      </c>
    </row>
    <row r="72" spans="1:16" s="182" customFormat="1" ht="25.5" customHeight="1" x14ac:dyDescent="0.35">
      <c r="A72" s="185"/>
      <c r="B72" s="836" t="s">
        <v>421</v>
      </c>
      <c r="C72" s="836"/>
      <c r="D72" s="837"/>
      <c r="E72" s="163">
        <f>E73</f>
        <v>200000</v>
      </c>
      <c r="F72" s="163">
        <f>F73</f>
        <v>200000</v>
      </c>
      <c r="G72" s="163"/>
      <c r="H72" s="451"/>
      <c r="I72" s="374"/>
      <c r="J72" s="374"/>
      <c r="K72" s="163">
        <f>K73</f>
        <v>0</v>
      </c>
      <c r="L72" s="163">
        <f>L73</f>
        <v>0</v>
      </c>
      <c r="M72" s="163">
        <f>M73</f>
        <v>0</v>
      </c>
      <c r="N72" s="163">
        <f>E72-M72</f>
        <v>200000</v>
      </c>
      <c r="O72" s="163">
        <f>M72*100/E72</f>
        <v>0</v>
      </c>
      <c r="P72" s="211"/>
    </row>
    <row r="73" spans="1:16" s="253" customFormat="1" ht="75" x14ac:dyDescent="0.35">
      <c r="A73" s="251"/>
      <c r="B73" s="252"/>
      <c r="C73" s="838" t="s">
        <v>422</v>
      </c>
      <c r="D73" s="839"/>
      <c r="E73" s="269">
        <f>F73</f>
        <v>200000</v>
      </c>
      <c r="F73" s="269">
        <v>200000</v>
      </c>
      <c r="G73" s="269"/>
      <c r="H73" s="321" t="s">
        <v>862</v>
      </c>
      <c r="I73" s="379"/>
      <c r="J73" s="379"/>
      <c r="K73" s="269"/>
      <c r="L73" s="269"/>
      <c r="M73" s="269">
        <v>0</v>
      </c>
      <c r="N73" s="269">
        <f>F73-M73</f>
        <v>200000</v>
      </c>
      <c r="O73" s="269">
        <f>M73*100/F73</f>
        <v>0</v>
      </c>
      <c r="P73" s="262" t="s">
        <v>423</v>
      </c>
    </row>
    <row r="74" spans="1:16" ht="21" x14ac:dyDescent="0.3">
      <c r="A74" s="840" t="s">
        <v>424</v>
      </c>
      <c r="B74" s="841"/>
      <c r="C74" s="841"/>
      <c r="D74" s="842"/>
      <c r="E74" s="184">
        <f>F74+G74</f>
        <v>17021300</v>
      </c>
      <c r="F74" s="184">
        <f>F75+F80</f>
        <v>2245300</v>
      </c>
      <c r="G74" s="184">
        <f>G75+G80</f>
        <v>14776000</v>
      </c>
      <c r="H74" s="450"/>
      <c r="I74" s="373"/>
      <c r="J74" s="373"/>
      <c r="K74" s="184">
        <f>K75+K80</f>
        <v>0</v>
      </c>
      <c r="L74" s="184">
        <f>L75+L80</f>
        <v>0</v>
      </c>
      <c r="M74" s="184">
        <f>M75+M80</f>
        <v>417200</v>
      </c>
      <c r="N74" s="184">
        <f>N75+N80</f>
        <v>16604100</v>
      </c>
      <c r="O74" s="232">
        <f>M74*100/E74</f>
        <v>2.4510466298108842</v>
      </c>
      <c r="P74" s="209"/>
    </row>
    <row r="75" spans="1:16" s="182" customFormat="1" ht="21" x14ac:dyDescent="0.35">
      <c r="A75" s="185"/>
      <c r="B75" s="836" t="s">
        <v>425</v>
      </c>
      <c r="C75" s="836"/>
      <c r="D75" s="837"/>
      <c r="E75" s="186">
        <f>F75+G75</f>
        <v>15945300</v>
      </c>
      <c r="F75" s="186">
        <f>F76</f>
        <v>1169300</v>
      </c>
      <c r="G75" s="186">
        <f>G76</f>
        <v>14776000</v>
      </c>
      <c r="H75" s="455"/>
      <c r="I75" s="377"/>
      <c r="J75" s="377"/>
      <c r="K75" s="186">
        <f>K76</f>
        <v>0</v>
      </c>
      <c r="L75" s="186">
        <f>L76</f>
        <v>0</v>
      </c>
      <c r="M75" s="186">
        <f>M76</f>
        <v>0</v>
      </c>
      <c r="N75" s="186">
        <f>N76</f>
        <v>15945300</v>
      </c>
      <c r="O75" s="186">
        <f>M75*100/E75</f>
        <v>0</v>
      </c>
      <c r="P75" s="210"/>
    </row>
    <row r="76" spans="1:16" s="270" customFormat="1" ht="37.5" x14ac:dyDescent="0.35">
      <c r="A76" s="271"/>
      <c r="B76" s="272"/>
      <c r="C76" s="874" t="s">
        <v>426</v>
      </c>
      <c r="D76" s="875"/>
      <c r="E76" s="273">
        <f>F76+G76</f>
        <v>15945300</v>
      </c>
      <c r="F76" s="273">
        <f>F77+F79</f>
        <v>1169300</v>
      </c>
      <c r="G76" s="273">
        <f>G78</f>
        <v>14776000</v>
      </c>
      <c r="H76" s="449"/>
      <c r="I76" s="371"/>
      <c r="J76" s="371"/>
      <c r="K76" s="273">
        <f>K78</f>
        <v>0</v>
      </c>
      <c r="L76" s="273">
        <f>L78</f>
        <v>0</v>
      </c>
      <c r="M76" s="273">
        <f>M77+M78+M79</f>
        <v>0</v>
      </c>
      <c r="N76" s="273">
        <f>N77+N78+N79</f>
        <v>15945300</v>
      </c>
      <c r="O76" s="273">
        <f>M76*100/E76</f>
        <v>0</v>
      </c>
      <c r="P76" s="262" t="s">
        <v>420</v>
      </c>
    </row>
    <row r="77" spans="1:16" ht="42" customHeight="1" x14ac:dyDescent="0.35">
      <c r="A77" s="187"/>
      <c r="B77" s="188"/>
      <c r="C77" s="188"/>
      <c r="D77" s="444" t="s">
        <v>427</v>
      </c>
      <c r="E77" s="274">
        <v>1089300</v>
      </c>
      <c r="F77" s="274">
        <v>1089300</v>
      </c>
      <c r="G77" s="274"/>
      <c r="H77" s="321" t="s">
        <v>637</v>
      </c>
      <c r="I77" s="380"/>
      <c r="J77" s="380"/>
      <c r="K77" s="274"/>
      <c r="L77" s="274"/>
      <c r="M77" s="275"/>
      <c r="N77" s="274">
        <f>F77-M77</f>
        <v>1089300</v>
      </c>
      <c r="O77" s="274">
        <f>M77*100/F77</f>
        <v>0</v>
      </c>
      <c r="P77" s="276"/>
    </row>
    <row r="78" spans="1:16" ht="42" customHeight="1" x14ac:dyDescent="0.35">
      <c r="A78" s="187"/>
      <c r="B78" s="188"/>
      <c r="C78" s="188"/>
      <c r="D78" s="444" t="s">
        <v>567</v>
      </c>
      <c r="E78" s="179">
        <v>14776000</v>
      </c>
      <c r="F78" s="179"/>
      <c r="G78" s="179">
        <v>14776000</v>
      </c>
      <c r="H78" s="321" t="s">
        <v>637</v>
      </c>
      <c r="I78" s="324"/>
      <c r="J78" s="324"/>
      <c r="K78" s="179">
        <v>0</v>
      </c>
      <c r="L78" s="179">
        <v>0</v>
      </c>
      <c r="M78" s="228"/>
      <c r="N78" s="179">
        <f>G78-M78</f>
        <v>14776000</v>
      </c>
      <c r="O78" s="179">
        <f>M78*100/G78</f>
        <v>0</v>
      </c>
      <c r="P78" s="277"/>
    </row>
    <row r="79" spans="1:16" ht="39.75" customHeight="1" x14ac:dyDescent="0.35">
      <c r="A79" s="187"/>
      <c r="B79" s="188"/>
      <c r="C79" s="188"/>
      <c r="D79" s="444" t="s">
        <v>428</v>
      </c>
      <c r="E79" s="179">
        <v>80000</v>
      </c>
      <c r="F79" s="179">
        <v>80000</v>
      </c>
      <c r="G79" s="179"/>
      <c r="H79" s="321" t="s">
        <v>862</v>
      </c>
      <c r="I79" s="324"/>
      <c r="J79" s="324"/>
      <c r="K79" s="179"/>
      <c r="L79" s="179"/>
      <c r="M79" s="228"/>
      <c r="N79" s="179">
        <f>F79-M79</f>
        <v>80000</v>
      </c>
      <c r="O79" s="179">
        <f>M79*100/F79</f>
        <v>0</v>
      </c>
      <c r="P79" s="277"/>
    </row>
    <row r="80" spans="1:16" s="182" customFormat="1" ht="24.75" customHeight="1" x14ac:dyDescent="0.35">
      <c r="A80" s="185"/>
      <c r="B80" s="836" t="s">
        <v>429</v>
      </c>
      <c r="C80" s="836"/>
      <c r="D80" s="837"/>
      <c r="E80" s="163">
        <f>F80</f>
        <v>1076000</v>
      </c>
      <c r="F80" s="163">
        <f>F81</f>
        <v>1076000</v>
      </c>
      <c r="G80" s="163"/>
      <c r="H80" s="451"/>
      <c r="I80" s="374"/>
      <c r="J80" s="374"/>
      <c r="K80" s="163">
        <f>K81</f>
        <v>0</v>
      </c>
      <c r="L80" s="163">
        <f>L81</f>
        <v>0</v>
      </c>
      <c r="M80" s="163">
        <f>M81</f>
        <v>417200</v>
      </c>
      <c r="N80" s="163">
        <f>N81</f>
        <v>658800</v>
      </c>
      <c r="O80" s="239">
        <f>M80*100/E80</f>
        <v>38.773234200743495</v>
      </c>
      <c r="P80" s="211"/>
    </row>
    <row r="81" spans="1:16" s="253" customFormat="1" ht="38.25" customHeight="1" x14ac:dyDescent="0.35">
      <c r="A81" s="251"/>
      <c r="B81" s="252"/>
      <c r="C81" s="876" t="s">
        <v>430</v>
      </c>
      <c r="D81" s="877"/>
      <c r="E81" s="261">
        <v>1076000</v>
      </c>
      <c r="F81" s="261">
        <v>1076000</v>
      </c>
      <c r="G81" s="261"/>
      <c r="H81" s="321" t="s">
        <v>862</v>
      </c>
      <c r="I81" s="381"/>
      <c r="J81" s="381"/>
      <c r="K81" s="261"/>
      <c r="L81" s="261"/>
      <c r="M81" s="261">
        <v>417200</v>
      </c>
      <c r="N81" s="261">
        <f>F81-M81</f>
        <v>658800</v>
      </c>
      <c r="O81" s="403">
        <f>M81*100/F81</f>
        <v>38.773234200743495</v>
      </c>
      <c r="P81" s="262" t="s">
        <v>431</v>
      </c>
    </row>
    <row r="82" spans="1:16" ht="24" customHeight="1" x14ac:dyDescent="0.3">
      <c r="A82" s="878" t="s">
        <v>432</v>
      </c>
      <c r="B82" s="879"/>
      <c r="C82" s="879"/>
      <c r="D82" s="880"/>
      <c r="E82" s="184">
        <f>E83+E86</f>
        <v>20100000</v>
      </c>
      <c r="F82" s="184">
        <f>F83+F86</f>
        <v>20100000</v>
      </c>
      <c r="G82" s="184">
        <f>G83+G86</f>
        <v>0</v>
      </c>
      <c r="H82" s="450"/>
      <c r="I82" s="373"/>
      <c r="J82" s="373"/>
      <c r="K82" s="184">
        <f>K83+K86</f>
        <v>0</v>
      </c>
      <c r="L82" s="184">
        <f>L83+L86</f>
        <v>0</v>
      </c>
      <c r="M82" s="184">
        <f>M83+M86</f>
        <v>780700</v>
      </c>
      <c r="N82" s="184">
        <f>N83+N86</f>
        <v>19319300</v>
      </c>
      <c r="O82" s="232">
        <f>M82*100/E82</f>
        <v>3.8840796019900496</v>
      </c>
      <c r="P82" s="209"/>
    </row>
    <row r="83" spans="1:16" s="182" customFormat="1" ht="24.75" customHeight="1" x14ac:dyDescent="0.35">
      <c r="A83" s="185"/>
      <c r="B83" s="836" t="s">
        <v>433</v>
      </c>
      <c r="C83" s="836"/>
      <c r="D83" s="837"/>
      <c r="E83" s="186">
        <f>F83+G83</f>
        <v>18000000</v>
      </c>
      <c r="F83" s="186">
        <f>F84+F85</f>
        <v>18000000</v>
      </c>
      <c r="G83" s="186">
        <f>G84+G85</f>
        <v>0</v>
      </c>
      <c r="H83" s="455"/>
      <c r="I83" s="377"/>
      <c r="J83" s="377"/>
      <c r="K83" s="186">
        <f>K84+K85</f>
        <v>0</v>
      </c>
      <c r="L83" s="186">
        <f>L84+L85</f>
        <v>0</v>
      </c>
      <c r="M83" s="186">
        <f>M84+M85</f>
        <v>780700</v>
      </c>
      <c r="N83" s="186">
        <f>N84+N85</f>
        <v>17219300</v>
      </c>
      <c r="O83" s="231">
        <f>M83*100/E83</f>
        <v>4.3372222222222225</v>
      </c>
      <c r="P83" s="210"/>
    </row>
    <row r="84" spans="1:16" s="270" customFormat="1" ht="42.75" customHeight="1" x14ac:dyDescent="0.35">
      <c r="A84" s="271"/>
      <c r="B84" s="272"/>
      <c r="C84" s="843" t="s">
        <v>434</v>
      </c>
      <c r="D84" s="844"/>
      <c r="E84" s="263">
        <v>10000000</v>
      </c>
      <c r="F84" s="263">
        <v>10000000</v>
      </c>
      <c r="G84" s="263">
        <v>0</v>
      </c>
      <c r="H84" s="321" t="s">
        <v>862</v>
      </c>
      <c r="I84" s="381"/>
      <c r="J84" s="381"/>
      <c r="K84" s="263"/>
      <c r="L84" s="263"/>
      <c r="M84" s="263">
        <v>700</v>
      </c>
      <c r="N84" s="263">
        <f>E84-M84</f>
        <v>9999300</v>
      </c>
      <c r="O84" s="264">
        <f>M84*100/F84</f>
        <v>7.0000000000000001E-3</v>
      </c>
      <c r="P84" s="262" t="s">
        <v>435</v>
      </c>
    </row>
    <row r="85" spans="1:16" s="270" customFormat="1" ht="42" customHeight="1" x14ac:dyDescent="0.35">
      <c r="A85" s="271"/>
      <c r="B85" s="272"/>
      <c r="C85" s="843" t="s">
        <v>436</v>
      </c>
      <c r="D85" s="844"/>
      <c r="E85" s="278">
        <v>8000000</v>
      </c>
      <c r="F85" s="278">
        <v>8000000</v>
      </c>
      <c r="G85" s="278">
        <v>0</v>
      </c>
      <c r="H85" s="321" t="s">
        <v>862</v>
      </c>
      <c r="I85" s="378"/>
      <c r="J85" s="378"/>
      <c r="K85" s="278"/>
      <c r="L85" s="278"/>
      <c r="M85" s="278">
        <v>780000</v>
      </c>
      <c r="N85" s="278">
        <f>E85-M85</f>
        <v>7220000</v>
      </c>
      <c r="O85" s="264">
        <f>M85*100/F85</f>
        <v>9.75</v>
      </c>
      <c r="P85" s="268" t="s">
        <v>435</v>
      </c>
    </row>
    <row r="86" spans="1:16" s="182" customFormat="1" ht="24" customHeight="1" x14ac:dyDescent="0.35">
      <c r="A86" s="185"/>
      <c r="B86" s="836" t="s">
        <v>437</v>
      </c>
      <c r="C86" s="836"/>
      <c r="D86" s="837"/>
      <c r="E86" s="163">
        <f>F86+G86</f>
        <v>2100000</v>
      </c>
      <c r="F86" s="163">
        <f>F87+F88</f>
        <v>2100000</v>
      </c>
      <c r="G86" s="163"/>
      <c r="H86" s="451"/>
      <c r="I86" s="374"/>
      <c r="J86" s="374"/>
      <c r="K86" s="163">
        <f>K87+K88</f>
        <v>0</v>
      </c>
      <c r="L86" s="163">
        <f>L87+L88</f>
        <v>0</v>
      </c>
      <c r="M86" s="163">
        <f>M87+M88</f>
        <v>0</v>
      </c>
      <c r="N86" s="163">
        <f>N87+N88</f>
        <v>2100000</v>
      </c>
      <c r="O86" s="163">
        <f>M86*100/E86</f>
        <v>0</v>
      </c>
      <c r="P86" s="211"/>
    </row>
    <row r="87" spans="1:16" s="270" customFormat="1" ht="42.75" customHeight="1" x14ac:dyDescent="0.35">
      <c r="A87" s="271"/>
      <c r="B87" s="272"/>
      <c r="C87" s="843" t="s">
        <v>438</v>
      </c>
      <c r="D87" s="844"/>
      <c r="E87" s="249">
        <v>2000000</v>
      </c>
      <c r="F87" s="249">
        <v>2000000</v>
      </c>
      <c r="G87" s="249">
        <v>0</v>
      </c>
      <c r="H87" s="321" t="s">
        <v>862</v>
      </c>
      <c r="I87" s="370"/>
      <c r="J87" s="370"/>
      <c r="K87" s="249"/>
      <c r="L87" s="249"/>
      <c r="M87" s="249"/>
      <c r="N87" s="249">
        <f>F87-M87</f>
        <v>2000000</v>
      </c>
      <c r="O87" s="249">
        <f>M87*100/F87</f>
        <v>0</v>
      </c>
      <c r="P87" s="265" t="s">
        <v>435</v>
      </c>
    </row>
    <row r="88" spans="1:16" s="270" customFormat="1" ht="45" customHeight="1" x14ac:dyDescent="0.35">
      <c r="A88" s="872"/>
      <c r="B88" s="873"/>
      <c r="C88" s="279" t="s">
        <v>614</v>
      </c>
      <c r="D88" s="280"/>
      <c r="E88" s="263">
        <v>100000</v>
      </c>
      <c r="F88" s="263">
        <v>100000</v>
      </c>
      <c r="G88" s="263">
        <v>0</v>
      </c>
      <c r="H88" s="321" t="s">
        <v>862</v>
      </c>
      <c r="I88" s="381"/>
      <c r="J88" s="381"/>
      <c r="K88" s="263"/>
      <c r="L88" s="263"/>
      <c r="M88" s="263"/>
      <c r="N88" s="249">
        <f>F88-M88</f>
        <v>100000</v>
      </c>
      <c r="O88" s="249">
        <f>M88*100/F88</f>
        <v>0</v>
      </c>
      <c r="P88" s="262" t="s">
        <v>435</v>
      </c>
    </row>
    <row r="89" spans="1:16" ht="21" x14ac:dyDescent="0.3">
      <c r="A89" s="840" t="s">
        <v>439</v>
      </c>
      <c r="B89" s="841"/>
      <c r="C89" s="841"/>
      <c r="D89" s="842"/>
      <c r="E89" s="184">
        <f>E90+E128</f>
        <v>11829600</v>
      </c>
      <c r="F89" s="184">
        <f>F90+F128</f>
        <v>2626000</v>
      </c>
      <c r="G89" s="184">
        <f>G90+G128</f>
        <v>9203600</v>
      </c>
      <c r="H89" s="450"/>
      <c r="I89" s="373"/>
      <c r="J89" s="373"/>
      <c r="K89" s="184">
        <f>K90+K128</f>
        <v>2321470</v>
      </c>
      <c r="L89" s="184">
        <f>L90+L128</f>
        <v>382130</v>
      </c>
      <c r="M89" s="184">
        <f>M90+M128</f>
        <v>665200</v>
      </c>
      <c r="N89" s="184">
        <f>N90+N128</f>
        <v>11164400</v>
      </c>
      <c r="O89" s="232">
        <f>M89*100/E89</f>
        <v>5.6231825251910461</v>
      </c>
      <c r="P89" s="209"/>
    </row>
    <row r="90" spans="1:16" s="182" customFormat="1" ht="21" x14ac:dyDescent="0.35">
      <c r="A90" s="185"/>
      <c r="B90" s="836" t="s">
        <v>440</v>
      </c>
      <c r="C90" s="836"/>
      <c r="D90" s="837"/>
      <c r="E90" s="164">
        <f>F90+G90</f>
        <v>10829600</v>
      </c>
      <c r="F90" s="164">
        <f>F91</f>
        <v>1626000</v>
      </c>
      <c r="G90" s="164">
        <f>G91</f>
        <v>9203600</v>
      </c>
      <c r="H90" s="456"/>
      <c r="I90" s="369"/>
      <c r="J90" s="369"/>
      <c r="K90" s="164">
        <f>K91</f>
        <v>1432300</v>
      </c>
      <c r="L90" s="164">
        <f>L91</f>
        <v>271300</v>
      </c>
      <c r="M90" s="164">
        <f>M91</f>
        <v>665200</v>
      </c>
      <c r="N90" s="164">
        <f>N91</f>
        <v>10164400</v>
      </c>
      <c r="O90" s="281">
        <f>M90*100/E90</f>
        <v>6.1424244662776095</v>
      </c>
      <c r="P90" s="211"/>
    </row>
    <row r="91" spans="1:16" s="253" customFormat="1" ht="21" x14ac:dyDescent="0.35">
      <c r="A91" s="259"/>
      <c r="B91" s="260"/>
      <c r="C91" s="834" t="s">
        <v>441</v>
      </c>
      <c r="D91" s="835"/>
      <c r="E91" s="263">
        <f>F91+G91</f>
        <v>10829600</v>
      </c>
      <c r="F91" s="263">
        <f>F92+F97</f>
        <v>1626000</v>
      </c>
      <c r="G91" s="263">
        <f>G92+G97</f>
        <v>9203600</v>
      </c>
      <c r="H91" s="326"/>
      <c r="I91" s="381"/>
      <c r="J91" s="381"/>
      <c r="K91" s="263">
        <f>K92+K97</f>
        <v>1432300</v>
      </c>
      <c r="L91" s="263">
        <f>L92+L97</f>
        <v>271300</v>
      </c>
      <c r="M91" s="263">
        <f>M92+M97</f>
        <v>665200</v>
      </c>
      <c r="N91" s="263">
        <f>N92+N97</f>
        <v>10164400</v>
      </c>
      <c r="O91" s="264">
        <f>M91*100/E91</f>
        <v>6.1424244662776095</v>
      </c>
      <c r="P91" s="282"/>
    </row>
    <row r="92" spans="1:16" s="175" customFormat="1" ht="37.5" x14ac:dyDescent="0.35">
      <c r="A92" s="189"/>
      <c r="B92" s="190"/>
      <c r="C92" s="190"/>
      <c r="D92" s="247" t="s">
        <v>442</v>
      </c>
      <c r="E92" s="191">
        <f>F92+G92</f>
        <v>9126000</v>
      </c>
      <c r="F92" s="191">
        <f>F93</f>
        <v>1626000</v>
      </c>
      <c r="G92" s="191">
        <f>G94</f>
        <v>7500000</v>
      </c>
      <c r="H92" s="321"/>
      <c r="I92" s="324"/>
      <c r="J92" s="324"/>
      <c r="K92" s="191">
        <f>K94</f>
        <v>0</v>
      </c>
      <c r="L92" s="191">
        <f>L94</f>
        <v>0</v>
      </c>
      <c r="M92" s="72">
        <f>M93+M94</f>
        <v>0</v>
      </c>
      <c r="N92" s="72">
        <f>N93+N94</f>
        <v>9126000</v>
      </c>
      <c r="O92" s="191">
        <f>M92*100/E92</f>
        <v>0</v>
      </c>
      <c r="P92" s="208" t="s">
        <v>420</v>
      </c>
    </row>
    <row r="93" spans="1:16" s="175" customFormat="1" ht="37.5" x14ac:dyDescent="0.35">
      <c r="A93" s="189"/>
      <c r="B93" s="190"/>
      <c r="C93" s="190"/>
      <c r="D93" s="247" t="s">
        <v>81</v>
      </c>
      <c r="E93" s="191"/>
      <c r="F93" s="191">
        <v>1626000</v>
      </c>
      <c r="G93" s="191"/>
      <c r="H93" s="321" t="s">
        <v>862</v>
      </c>
      <c r="I93" s="324"/>
      <c r="J93" s="324"/>
      <c r="K93" s="191"/>
      <c r="L93" s="191"/>
      <c r="M93" s="72"/>
      <c r="N93" s="191">
        <f>F93-M93</f>
        <v>1626000</v>
      </c>
      <c r="O93" s="191">
        <f>M93*100/F93</f>
        <v>0</v>
      </c>
      <c r="P93" s="208"/>
    </row>
    <row r="94" spans="1:16" s="175" customFormat="1" ht="21" x14ac:dyDescent="0.35">
      <c r="A94" s="189"/>
      <c r="B94" s="190"/>
      <c r="C94" s="190"/>
      <c r="D94" s="247" t="s">
        <v>80</v>
      </c>
      <c r="E94" s="191"/>
      <c r="F94" s="191"/>
      <c r="G94" s="191">
        <f>SUM(G95:G96)</f>
        <v>7500000</v>
      </c>
      <c r="H94" s="321"/>
      <c r="I94" s="324"/>
      <c r="J94" s="324"/>
      <c r="K94" s="191">
        <f>SUM(K95:K96)</f>
        <v>0</v>
      </c>
      <c r="L94" s="191">
        <f>SUM(L95:L96)</f>
        <v>0</v>
      </c>
      <c r="M94" s="72">
        <f>M95+M96</f>
        <v>0</v>
      </c>
      <c r="N94" s="72">
        <f>N95+N96</f>
        <v>7500000</v>
      </c>
      <c r="O94" s="191">
        <f>M94*100/G94</f>
        <v>0</v>
      </c>
      <c r="P94" s="208"/>
    </row>
    <row r="95" spans="1:16" s="175" customFormat="1" ht="42" customHeight="1" x14ac:dyDescent="0.35">
      <c r="A95" s="189"/>
      <c r="B95" s="190"/>
      <c r="C95" s="190"/>
      <c r="D95" s="247" t="s">
        <v>590</v>
      </c>
      <c r="E95" s="191"/>
      <c r="F95" s="191"/>
      <c r="G95" s="191">
        <v>3600000</v>
      </c>
      <c r="H95" s="452" t="s">
        <v>637</v>
      </c>
      <c r="I95" s="324"/>
      <c r="J95" s="324"/>
      <c r="K95" s="191"/>
      <c r="L95" s="191">
        <v>0</v>
      </c>
      <c r="M95" s="72"/>
      <c r="N95" s="191">
        <f>G95-M95</f>
        <v>3600000</v>
      </c>
      <c r="O95" s="191">
        <f>M95*100/G95</f>
        <v>0</v>
      </c>
      <c r="P95" s="208"/>
    </row>
    <row r="96" spans="1:16" s="175" customFormat="1" ht="40.5" customHeight="1" x14ac:dyDescent="0.35">
      <c r="A96" s="189"/>
      <c r="B96" s="190"/>
      <c r="C96" s="190"/>
      <c r="D96" s="247" t="s">
        <v>613</v>
      </c>
      <c r="E96" s="191"/>
      <c r="F96" s="191"/>
      <c r="G96" s="191">
        <v>3900000</v>
      </c>
      <c r="H96" s="452" t="s">
        <v>637</v>
      </c>
      <c r="I96" s="324"/>
      <c r="J96" s="324"/>
      <c r="K96" s="191"/>
      <c r="L96" s="191">
        <v>0</v>
      </c>
      <c r="M96" s="72"/>
      <c r="N96" s="191">
        <f>G96-M96</f>
        <v>3900000</v>
      </c>
      <c r="O96" s="191">
        <f>M96*100/G96</f>
        <v>0</v>
      </c>
      <c r="P96" s="208"/>
    </row>
    <row r="97" spans="1:16" ht="56.25" customHeight="1" x14ac:dyDescent="0.35">
      <c r="A97" s="187"/>
      <c r="B97" s="188"/>
      <c r="C97" s="188"/>
      <c r="D97" s="444" t="s">
        <v>443</v>
      </c>
      <c r="E97" s="191">
        <f>F97+G97</f>
        <v>1703600</v>
      </c>
      <c r="F97" s="191"/>
      <c r="G97" s="191">
        <f>G98</f>
        <v>1703600</v>
      </c>
      <c r="H97" s="321"/>
      <c r="I97" s="324"/>
      <c r="J97" s="324"/>
      <c r="K97" s="191">
        <f>K98</f>
        <v>1432300</v>
      </c>
      <c r="L97" s="191">
        <f>L98</f>
        <v>271300</v>
      </c>
      <c r="M97" s="72">
        <f>M98</f>
        <v>665200</v>
      </c>
      <c r="N97" s="72">
        <f>N98</f>
        <v>1038400</v>
      </c>
      <c r="O97" s="225">
        <f>M97*100/E97</f>
        <v>39.046724583235502</v>
      </c>
      <c r="P97" s="208" t="s">
        <v>444</v>
      </c>
    </row>
    <row r="98" spans="1:16" ht="24" customHeight="1" x14ac:dyDescent="0.35">
      <c r="A98" s="187"/>
      <c r="B98" s="188"/>
      <c r="C98" s="188"/>
      <c r="D98" s="444" t="s">
        <v>80</v>
      </c>
      <c r="E98" s="191"/>
      <c r="F98" s="191"/>
      <c r="G98" s="191">
        <f>SUM(G99:G127)</f>
        <v>1703600</v>
      </c>
      <c r="H98" s="321"/>
      <c r="I98" s="324"/>
      <c r="J98" s="324"/>
      <c r="K98" s="191">
        <f>SUM(K99:K127)</f>
        <v>1432300</v>
      </c>
      <c r="L98" s="191">
        <f>SUM(L99:L127)</f>
        <v>271300</v>
      </c>
      <c r="M98" s="72">
        <f>M99+M100+M101+M102+M103+M104+M105+M106+M107+M108+M109+M110+M111+M112+M113+M114+M115+M116+M117+M118+M119+M120+M121+M122+M123+M124+M125+M126+M127</f>
        <v>665200</v>
      </c>
      <c r="N98" s="72">
        <f>N99+N100+N101+N102+N103+N104+N105+N106+N107+N108+N109+N110+N111+N112+N113+N114+N115+N116+N117+N118+N119+N120+N121+N122+N123+N124+N125+N126+N127</f>
        <v>1038400</v>
      </c>
      <c r="O98" s="242">
        <f t="shared" ref="O98:O127" si="14">M98*100/G98</f>
        <v>39.046724583235502</v>
      </c>
      <c r="P98" s="208"/>
    </row>
    <row r="99" spans="1:16" ht="34.5" x14ac:dyDescent="0.35">
      <c r="A99" s="187"/>
      <c r="B99" s="188"/>
      <c r="C99" s="188"/>
      <c r="D99" s="444" t="s">
        <v>591</v>
      </c>
      <c r="E99" s="191"/>
      <c r="F99" s="191"/>
      <c r="G99" s="191">
        <v>40000</v>
      </c>
      <c r="H99" s="321" t="s">
        <v>353</v>
      </c>
      <c r="I99" s="323" t="s">
        <v>692</v>
      </c>
      <c r="J99" s="342" t="s">
        <v>628</v>
      </c>
      <c r="K99" s="191">
        <v>40000</v>
      </c>
      <c r="L99" s="191">
        <f>G99-K99</f>
        <v>0</v>
      </c>
      <c r="M99" s="72">
        <v>40000</v>
      </c>
      <c r="N99" s="191">
        <f t="shared" ref="N99:N127" si="15">G99-M99</f>
        <v>0</v>
      </c>
      <c r="O99" s="242">
        <f t="shared" si="14"/>
        <v>100</v>
      </c>
      <c r="P99" s="208"/>
    </row>
    <row r="100" spans="1:16" ht="34.5" x14ac:dyDescent="0.35">
      <c r="A100" s="187"/>
      <c r="B100" s="188"/>
      <c r="C100" s="188"/>
      <c r="D100" s="444" t="s">
        <v>592</v>
      </c>
      <c r="E100" s="191"/>
      <c r="F100" s="191"/>
      <c r="G100" s="191">
        <v>30000</v>
      </c>
      <c r="H100" s="321" t="s">
        <v>353</v>
      </c>
      <c r="I100" s="323" t="s">
        <v>692</v>
      </c>
      <c r="J100" s="342" t="s">
        <v>628</v>
      </c>
      <c r="K100" s="191">
        <v>30000</v>
      </c>
      <c r="L100" s="191">
        <f t="shared" ref="L100:L127" si="16">G100-K100</f>
        <v>0</v>
      </c>
      <c r="M100" s="72">
        <v>30000</v>
      </c>
      <c r="N100" s="191">
        <f t="shared" si="15"/>
        <v>0</v>
      </c>
      <c r="O100" s="242">
        <f t="shared" si="14"/>
        <v>100</v>
      </c>
      <c r="P100" s="208"/>
    </row>
    <row r="101" spans="1:16" ht="42" x14ac:dyDescent="0.35">
      <c r="A101" s="187"/>
      <c r="B101" s="188"/>
      <c r="C101" s="188"/>
      <c r="D101" s="444" t="s">
        <v>593</v>
      </c>
      <c r="E101" s="191"/>
      <c r="F101" s="191"/>
      <c r="G101" s="191">
        <v>10000</v>
      </c>
      <c r="H101" s="321" t="s">
        <v>353</v>
      </c>
      <c r="I101" s="321" t="s">
        <v>688</v>
      </c>
      <c r="J101" s="342" t="s">
        <v>628</v>
      </c>
      <c r="K101" s="191">
        <v>10000</v>
      </c>
      <c r="L101" s="191">
        <f t="shared" si="16"/>
        <v>0</v>
      </c>
      <c r="M101" s="72">
        <v>10000</v>
      </c>
      <c r="N101" s="191">
        <f t="shared" si="15"/>
        <v>0</v>
      </c>
      <c r="O101" s="242">
        <f t="shared" si="14"/>
        <v>100</v>
      </c>
      <c r="P101" s="208"/>
    </row>
    <row r="102" spans="1:16" ht="42" x14ac:dyDescent="0.35">
      <c r="A102" s="187"/>
      <c r="B102" s="188"/>
      <c r="C102" s="188"/>
      <c r="D102" s="444" t="s">
        <v>594</v>
      </c>
      <c r="E102" s="191"/>
      <c r="F102" s="191"/>
      <c r="G102" s="191">
        <v>20600</v>
      </c>
      <c r="H102" s="321" t="s">
        <v>353</v>
      </c>
      <c r="I102" s="323" t="s">
        <v>692</v>
      </c>
      <c r="J102" s="342" t="s">
        <v>628</v>
      </c>
      <c r="K102" s="191">
        <v>20400</v>
      </c>
      <c r="L102" s="191">
        <f t="shared" si="16"/>
        <v>200</v>
      </c>
      <c r="M102" s="72">
        <v>20400</v>
      </c>
      <c r="N102" s="191">
        <f t="shared" si="15"/>
        <v>200</v>
      </c>
      <c r="O102" s="242">
        <v>100</v>
      </c>
      <c r="P102" s="208"/>
    </row>
    <row r="103" spans="1:16" ht="42" x14ac:dyDescent="0.35">
      <c r="A103" s="187"/>
      <c r="B103" s="188"/>
      <c r="C103" s="188"/>
      <c r="D103" s="444" t="s">
        <v>595</v>
      </c>
      <c r="E103" s="191"/>
      <c r="F103" s="191"/>
      <c r="G103" s="191">
        <v>18000</v>
      </c>
      <c r="H103" s="321" t="s">
        <v>353</v>
      </c>
      <c r="I103" s="323" t="s">
        <v>692</v>
      </c>
      <c r="J103" s="342" t="s">
        <v>628</v>
      </c>
      <c r="K103" s="191">
        <v>18000</v>
      </c>
      <c r="L103" s="191">
        <f t="shared" si="16"/>
        <v>0</v>
      </c>
      <c r="M103" s="72">
        <v>18000</v>
      </c>
      <c r="N103" s="191">
        <f t="shared" si="15"/>
        <v>0</v>
      </c>
      <c r="O103" s="242">
        <f t="shared" si="14"/>
        <v>100</v>
      </c>
      <c r="P103" s="208"/>
    </row>
    <row r="104" spans="1:16" ht="37.5" x14ac:dyDescent="0.35">
      <c r="A104" s="187"/>
      <c r="B104" s="188"/>
      <c r="C104" s="188"/>
      <c r="D104" s="444" t="s">
        <v>596</v>
      </c>
      <c r="E104" s="191"/>
      <c r="F104" s="191"/>
      <c r="G104" s="191">
        <v>16000</v>
      </c>
      <c r="H104" s="321" t="s">
        <v>353</v>
      </c>
      <c r="I104" s="321" t="s">
        <v>688</v>
      </c>
      <c r="J104" s="342" t="s">
        <v>628</v>
      </c>
      <c r="K104" s="191">
        <v>16000</v>
      </c>
      <c r="L104" s="191">
        <f t="shared" si="16"/>
        <v>0</v>
      </c>
      <c r="M104" s="72">
        <v>16000</v>
      </c>
      <c r="N104" s="191">
        <f t="shared" si="15"/>
        <v>0</v>
      </c>
      <c r="O104" s="242">
        <f t="shared" si="14"/>
        <v>100</v>
      </c>
      <c r="P104" s="208"/>
    </row>
    <row r="105" spans="1:16" ht="37.5" x14ac:dyDescent="0.35">
      <c r="A105" s="187"/>
      <c r="B105" s="188"/>
      <c r="C105" s="188"/>
      <c r="D105" s="444" t="s">
        <v>597</v>
      </c>
      <c r="E105" s="191"/>
      <c r="F105" s="191"/>
      <c r="G105" s="191">
        <v>24000</v>
      </c>
      <c r="H105" s="321" t="s">
        <v>353</v>
      </c>
      <c r="I105" s="321" t="s">
        <v>688</v>
      </c>
      <c r="J105" s="342" t="s">
        <v>628</v>
      </c>
      <c r="K105" s="191">
        <v>24000</v>
      </c>
      <c r="L105" s="191">
        <f t="shared" si="16"/>
        <v>0</v>
      </c>
      <c r="M105" s="72">
        <v>24000</v>
      </c>
      <c r="N105" s="191">
        <f t="shared" si="15"/>
        <v>0</v>
      </c>
      <c r="O105" s="242">
        <f t="shared" si="14"/>
        <v>100</v>
      </c>
      <c r="P105" s="208"/>
    </row>
    <row r="106" spans="1:16" ht="37.5" x14ac:dyDescent="0.35">
      <c r="A106" s="187"/>
      <c r="B106" s="188"/>
      <c r="C106" s="188"/>
      <c r="D106" s="444" t="s">
        <v>598</v>
      </c>
      <c r="E106" s="191"/>
      <c r="F106" s="191"/>
      <c r="G106" s="191">
        <v>40000</v>
      </c>
      <c r="H106" s="321" t="s">
        <v>353</v>
      </c>
      <c r="I106" s="321" t="s">
        <v>688</v>
      </c>
      <c r="J106" s="342" t="s">
        <v>628</v>
      </c>
      <c r="K106" s="191">
        <v>40000</v>
      </c>
      <c r="L106" s="191">
        <f t="shared" si="16"/>
        <v>0</v>
      </c>
      <c r="M106" s="72">
        <v>40000</v>
      </c>
      <c r="N106" s="191">
        <f t="shared" si="15"/>
        <v>0</v>
      </c>
      <c r="O106" s="242">
        <f t="shared" si="14"/>
        <v>100</v>
      </c>
      <c r="P106" s="208"/>
    </row>
    <row r="107" spans="1:16" ht="37.5" x14ac:dyDescent="0.35">
      <c r="A107" s="187"/>
      <c r="B107" s="188"/>
      <c r="C107" s="188"/>
      <c r="D107" s="444" t="s">
        <v>599</v>
      </c>
      <c r="E107" s="191"/>
      <c r="F107" s="191"/>
      <c r="G107" s="191">
        <v>90000</v>
      </c>
      <c r="H107" s="321" t="s">
        <v>353</v>
      </c>
      <c r="I107" s="321" t="s">
        <v>688</v>
      </c>
      <c r="J107" s="342" t="s">
        <v>628</v>
      </c>
      <c r="K107" s="191">
        <v>90000</v>
      </c>
      <c r="L107" s="191">
        <f t="shared" si="16"/>
        <v>0</v>
      </c>
      <c r="M107" s="72">
        <v>90000</v>
      </c>
      <c r="N107" s="191">
        <f t="shared" si="15"/>
        <v>0</v>
      </c>
      <c r="O107" s="242">
        <f t="shared" si="14"/>
        <v>100</v>
      </c>
      <c r="P107" s="208"/>
    </row>
    <row r="108" spans="1:16" ht="34.5" x14ac:dyDescent="0.35">
      <c r="A108" s="166"/>
      <c r="B108" s="167"/>
      <c r="C108" s="167"/>
      <c r="D108" s="168" t="s">
        <v>600</v>
      </c>
      <c r="E108" s="191"/>
      <c r="F108" s="191"/>
      <c r="G108" s="191">
        <v>34000</v>
      </c>
      <c r="H108" s="321" t="s">
        <v>353</v>
      </c>
      <c r="I108" s="248" t="s">
        <v>636</v>
      </c>
      <c r="J108" s="342" t="s">
        <v>628</v>
      </c>
      <c r="K108" s="191">
        <v>34000</v>
      </c>
      <c r="L108" s="191">
        <f t="shared" si="16"/>
        <v>0</v>
      </c>
      <c r="M108" s="72">
        <v>34000</v>
      </c>
      <c r="N108" s="191">
        <f t="shared" si="15"/>
        <v>0</v>
      </c>
      <c r="O108" s="242">
        <f t="shared" si="14"/>
        <v>100</v>
      </c>
      <c r="P108" s="208"/>
    </row>
    <row r="109" spans="1:16" ht="34.5" x14ac:dyDescent="0.35">
      <c r="A109" s="187"/>
      <c r="B109" s="188"/>
      <c r="C109" s="188"/>
      <c r="D109" s="444" t="s">
        <v>601</v>
      </c>
      <c r="E109" s="191"/>
      <c r="F109" s="191"/>
      <c r="G109" s="191">
        <v>112500</v>
      </c>
      <c r="H109" s="321" t="s">
        <v>353</v>
      </c>
      <c r="I109" s="323" t="s">
        <v>692</v>
      </c>
      <c r="J109" s="342" t="s">
        <v>628</v>
      </c>
      <c r="K109" s="191">
        <v>112500</v>
      </c>
      <c r="L109" s="191">
        <f t="shared" si="16"/>
        <v>0</v>
      </c>
      <c r="M109" s="72">
        <v>112500</v>
      </c>
      <c r="N109" s="191">
        <f t="shared" si="15"/>
        <v>0</v>
      </c>
      <c r="O109" s="242">
        <f t="shared" si="14"/>
        <v>100</v>
      </c>
      <c r="P109" s="208"/>
    </row>
    <row r="110" spans="1:16" ht="56.25" x14ac:dyDescent="0.35">
      <c r="A110" s="187"/>
      <c r="B110" s="188"/>
      <c r="C110" s="188"/>
      <c r="D110" s="444" t="s">
        <v>602</v>
      </c>
      <c r="E110" s="191"/>
      <c r="F110" s="191"/>
      <c r="G110" s="191">
        <v>74000</v>
      </c>
      <c r="H110" s="321" t="s">
        <v>860</v>
      </c>
      <c r="I110" s="321" t="s">
        <v>693</v>
      </c>
      <c r="J110" s="342" t="s">
        <v>628</v>
      </c>
      <c r="K110" s="191">
        <v>74000</v>
      </c>
      <c r="L110" s="191">
        <f t="shared" si="16"/>
        <v>0</v>
      </c>
      <c r="M110" s="72"/>
      <c r="N110" s="191">
        <f t="shared" si="15"/>
        <v>74000</v>
      </c>
      <c r="O110" s="242">
        <f t="shared" si="14"/>
        <v>0</v>
      </c>
      <c r="P110" s="208"/>
    </row>
    <row r="111" spans="1:16" ht="34.5" x14ac:dyDescent="0.35">
      <c r="A111" s="187"/>
      <c r="B111" s="188"/>
      <c r="C111" s="188"/>
      <c r="D111" s="444" t="s">
        <v>603</v>
      </c>
      <c r="E111" s="191"/>
      <c r="F111" s="191"/>
      <c r="G111" s="191">
        <v>30000</v>
      </c>
      <c r="H111" s="321" t="s">
        <v>353</v>
      </c>
      <c r="I111" s="323" t="s">
        <v>692</v>
      </c>
      <c r="J111" s="342" t="s">
        <v>628</v>
      </c>
      <c r="K111" s="191">
        <v>30000</v>
      </c>
      <c r="L111" s="191">
        <f t="shared" si="16"/>
        <v>0</v>
      </c>
      <c r="M111" s="72">
        <v>30000</v>
      </c>
      <c r="N111" s="191">
        <f t="shared" si="15"/>
        <v>0</v>
      </c>
      <c r="O111" s="242">
        <f t="shared" si="14"/>
        <v>100</v>
      </c>
      <c r="P111" s="208"/>
    </row>
    <row r="112" spans="1:16" ht="34.5" x14ac:dyDescent="0.35">
      <c r="A112" s="187"/>
      <c r="B112" s="188"/>
      <c r="C112" s="188"/>
      <c r="D112" s="444" t="s">
        <v>604</v>
      </c>
      <c r="E112" s="191"/>
      <c r="F112" s="191"/>
      <c r="G112" s="191">
        <v>40000</v>
      </c>
      <c r="H112" s="321" t="s">
        <v>353</v>
      </c>
      <c r="I112" s="323" t="s">
        <v>692</v>
      </c>
      <c r="J112" s="342" t="s">
        <v>628</v>
      </c>
      <c r="K112" s="191">
        <v>40000</v>
      </c>
      <c r="L112" s="191">
        <f t="shared" si="16"/>
        <v>0</v>
      </c>
      <c r="M112" s="72">
        <v>40000</v>
      </c>
      <c r="N112" s="191">
        <f t="shared" si="15"/>
        <v>0</v>
      </c>
      <c r="O112" s="242">
        <f t="shared" si="14"/>
        <v>100</v>
      </c>
      <c r="P112" s="208"/>
    </row>
    <row r="113" spans="1:16" ht="42" x14ac:dyDescent="0.35">
      <c r="A113" s="187"/>
      <c r="B113" s="188"/>
      <c r="C113" s="188"/>
      <c r="D113" s="444" t="s">
        <v>607</v>
      </c>
      <c r="E113" s="191"/>
      <c r="F113" s="191"/>
      <c r="G113" s="191">
        <v>15000</v>
      </c>
      <c r="H113" s="321" t="s">
        <v>353</v>
      </c>
      <c r="I113" s="323" t="s">
        <v>692</v>
      </c>
      <c r="J113" s="342" t="s">
        <v>628</v>
      </c>
      <c r="K113" s="191">
        <v>14800</v>
      </c>
      <c r="L113" s="191">
        <f t="shared" si="16"/>
        <v>200</v>
      </c>
      <c r="M113" s="72">
        <v>14800</v>
      </c>
      <c r="N113" s="191">
        <f t="shared" si="15"/>
        <v>200</v>
      </c>
      <c r="O113" s="242">
        <v>100</v>
      </c>
      <c r="P113" s="208"/>
    </row>
    <row r="114" spans="1:16" ht="42" x14ac:dyDescent="0.35">
      <c r="A114" s="187"/>
      <c r="B114" s="188"/>
      <c r="C114" s="188"/>
      <c r="D114" s="444" t="s">
        <v>605</v>
      </c>
      <c r="E114" s="191"/>
      <c r="F114" s="191"/>
      <c r="G114" s="191">
        <v>40000</v>
      </c>
      <c r="H114" s="321" t="s">
        <v>353</v>
      </c>
      <c r="I114" s="323" t="s">
        <v>692</v>
      </c>
      <c r="J114" s="342" t="s">
        <v>628</v>
      </c>
      <c r="K114" s="191">
        <v>40000</v>
      </c>
      <c r="L114" s="191">
        <f t="shared" si="16"/>
        <v>0</v>
      </c>
      <c r="M114" s="72">
        <v>40000</v>
      </c>
      <c r="N114" s="191">
        <f t="shared" si="15"/>
        <v>0</v>
      </c>
      <c r="O114" s="242">
        <f t="shared" si="14"/>
        <v>100</v>
      </c>
      <c r="P114" s="208"/>
    </row>
    <row r="115" spans="1:16" ht="42" x14ac:dyDescent="0.35">
      <c r="A115" s="187"/>
      <c r="B115" s="188"/>
      <c r="C115" s="188"/>
      <c r="D115" s="444" t="s">
        <v>606</v>
      </c>
      <c r="E115" s="191"/>
      <c r="F115" s="191"/>
      <c r="G115" s="191">
        <v>8000</v>
      </c>
      <c r="H115" s="321" t="s">
        <v>353</v>
      </c>
      <c r="I115" s="321" t="s">
        <v>688</v>
      </c>
      <c r="J115" s="342" t="s">
        <v>628</v>
      </c>
      <c r="K115" s="191">
        <v>8000</v>
      </c>
      <c r="L115" s="191">
        <f t="shared" si="16"/>
        <v>0</v>
      </c>
      <c r="M115" s="72">
        <v>8000</v>
      </c>
      <c r="N115" s="191">
        <f t="shared" si="15"/>
        <v>0</v>
      </c>
      <c r="O115" s="242">
        <f t="shared" si="14"/>
        <v>100</v>
      </c>
      <c r="P115" s="208"/>
    </row>
    <row r="116" spans="1:16" ht="34.5" x14ac:dyDescent="0.35">
      <c r="A116" s="187"/>
      <c r="B116" s="188"/>
      <c r="C116" s="188"/>
      <c r="D116" s="444" t="s">
        <v>608</v>
      </c>
      <c r="E116" s="191"/>
      <c r="F116" s="191"/>
      <c r="G116" s="191">
        <v>19000</v>
      </c>
      <c r="H116" s="321" t="s">
        <v>353</v>
      </c>
      <c r="I116" s="323" t="s">
        <v>692</v>
      </c>
      <c r="J116" s="342" t="s">
        <v>628</v>
      </c>
      <c r="K116" s="191">
        <v>19000</v>
      </c>
      <c r="L116" s="191">
        <f t="shared" si="16"/>
        <v>0</v>
      </c>
      <c r="M116" s="72">
        <v>19000</v>
      </c>
      <c r="N116" s="191">
        <f t="shared" si="15"/>
        <v>0</v>
      </c>
      <c r="O116" s="242">
        <f t="shared" si="14"/>
        <v>100</v>
      </c>
      <c r="P116" s="208"/>
    </row>
    <row r="117" spans="1:16" ht="56.25" x14ac:dyDescent="0.35">
      <c r="A117" s="187"/>
      <c r="B117" s="188"/>
      <c r="C117" s="188"/>
      <c r="D117" s="444" t="s">
        <v>609</v>
      </c>
      <c r="E117" s="191"/>
      <c r="F117" s="191"/>
      <c r="G117" s="191">
        <v>6500</v>
      </c>
      <c r="H117" s="321" t="s">
        <v>860</v>
      </c>
      <c r="I117" s="321" t="s">
        <v>693</v>
      </c>
      <c r="J117" s="342" t="s">
        <v>628</v>
      </c>
      <c r="K117" s="191">
        <v>5600</v>
      </c>
      <c r="L117" s="191">
        <f t="shared" si="16"/>
        <v>900</v>
      </c>
      <c r="M117" s="72"/>
      <c r="N117" s="191">
        <f t="shared" si="15"/>
        <v>6500</v>
      </c>
      <c r="O117" s="242">
        <f t="shared" si="14"/>
        <v>0</v>
      </c>
      <c r="P117" s="208"/>
    </row>
    <row r="118" spans="1:16" ht="56.25" x14ac:dyDescent="0.35">
      <c r="A118" s="187"/>
      <c r="B118" s="188"/>
      <c r="C118" s="188"/>
      <c r="D118" s="444" t="s">
        <v>610</v>
      </c>
      <c r="E118" s="191"/>
      <c r="F118" s="191"/>
      <c r="G118" s="191">
        <v>7500</v>
      </c>
      <c r="H118" s="321" t="s">
        <v>860</v>
      </c>
      <c r="I118" s="321" t="s">
        <v>693</v>
      </c>
      <c r="J118" s="342" t="s">
        <v>628</v>
      </c>
      <c r="K118" s="191">
        <v>7500</v>
      </c>
      <c r="L118" s="191">
        <f t="shared" si="16"/>
        <v>0</v>
      </c>
      <c r="M118" s="72"/>
      <c r="N118" s="191">
        <f t="shared" si="15"/>
        <v>7500</v>
      </c>
      <c r="O118" s="242">
        <f t="shared" si="14"/>
        <v>0</v>
      </c>
      <c r="P118" s="208"/>
    </row>
    <row r="119" spans="1:16" ht="56.25" x14ac:dyDescent="0.35">
      <c r="A119" s="187"/>
      <c r="B119" s="188"/>
      <c r="C119" s="188"/>
      <c r="D119" s="444" t="s">
        <v>611</v>
      </c>
      <c r="E119" s="191"/>
      <c r="F119" s="191"/>
      <c r="G119" s="191">
        <v>90000</v>
      </c>
      <c r="H119" s="321" t="s">
        <v>860</v>
      </c>
      <c r="I119" s="321" t="s">
        <v>693</v>
      </c>
      <c r="J119" s="342" t="s">
        <v>628</v>
      </c>
      <c r="K119" s="191">
        <v>90000</v>
      </c>
      <c r="L119" s="191">
        <f t="shared" si="16"/>
        <v>0</v>
      </c>
      <c r="M119" s="72"/>
      <c r="N119" s="191">
        <f t="shared" si="15"/>
        <v>90000</v>
      </c>
      <c r="O119" s="242">
        <f t="shared" si="14"/>
        <v>0</v>
      </c>
      <c r="P119" s="208"/>
    </row>
    <row r="120" spans="1:16" ht="34.5" x14ac:dyDescent="0.35">
      <c r="A120" s="187"/>
      <c r="B120" s="188"/>
      <c r="C120" s="188"/>
      <c r="D120" s="444" t="s">
        <v>559</v>
      </c>
      <c r="E120" s="191"/>
      <c r="F120" s="191"/>
      <c r="G120" s="191">
        <v>32000</v>
      </c>
      <c r="H120" s="321" t="s">
        <v>353</v>
      </c>
      <c r="I120" s="323" t="s">
        <v>636</v>
      </c>
      <c r="J120" s="342" t="s">
        <v>628</v>
      </c>
      <c r="K120" s="191">
        <v>32000</v>
      </c>
      <c r="L120" s="191">
        <f t="shared" si="16"/>
        <v>0</v>
      </c>
      <c r="M120" s="72">
        <v>32000</v>
      </c>
      <c r="N120" s="191">
        <f t="shared" si="15"/>
        <v>0</v>
      </c>
      <c r="O120" s="242">
        <f t="shared" si="14"/>
        <v>100</v>
      </c>
      <c r="P120" s="208"/>
    </row>
    <row r="121" spans="1:16" ht="37.5" x14ac:dyDescent="0.35">
      <c r="A121" s="187"/>
      <c r="B121" s="188"/>
      <c r="C121" s="188"/>
      <c r="D121" s="444" t="s">
        <v>561</v>
      </c>
      <c r="E121" s="191"/>
      <c r="F121" s="191"/>
      <c r="G121" s="191">
        <v>5000</v>
      </c>
      <c r="H121" s="321" t="s">
        <v>353</v>
      </c>
      <c r="I121" s="321" t="s">
        <v>688</v>
      </c>
      <c r="J121" s="342" t="s">
        <v>628</v>
      </c>
      <c r="K121" s="191">
        <v>5000</v>
      </c>
      <c r="L121" s="191">
        <f t="shared" si="16"/>
        <v>0</v>
      </c>
      <c r="M121" s="72">
        <v>5000</v>
      </c>
      <c r="N121" s="191">
        <f t="shared" si="15"/>
        <v>0</v>
      </c>
      <c r="O121" s="242">
        <f t="shared" si="14"/>
        <v>100</v>
      </c>
      <c r="P121" s="208"/>
    </row>
    <row r="122" spans="1:16" ht="37.5" x14ac:dyDescent="0.35">
      <c r="A122" s="187"/>
      <c r="B122" s="188"/>
      <c r="C122" s="188"/>
      <c r="D122" s="444" t="s">
        <v>562</v>
      </c>
      <c r="E122" s="191"/>
      <c r="F122" s="191"/>
      <c r="G122" s="191">
        <v>4500</v>
      </c>
      <c r="H122" s="321" t="s">
        <v>353</v>
      </c>
      <c r="I122" s="321" t="s">
        <v>688</v>
      </c>
      <c r="J122" s="342" t="s">
        <v>628</v>
      </c>
      <c r="K122" s="191">
        <v>4500</v>
      </c>
      <c r="L122" s="191">
        <f t="shared" si="16"/>
        <v>0</v>
      </c>
      <c r="M122" s="72">
        <v>4500</v>
      </c>
      <c r="N122" s="191">
        <f t="shared" si="15"/>
        <v>0</v>
      </c>
      <c r="O122" s="242">
        <f t="shared" si="14"/>
        <v>100</v>
      </c>
      <c r="P122" s="208"/>
    </row>
    <row r="123" spans="1:16" ht="37.5" x14ac:dyDescent="0.35">
      <c r="A123" s="166"/>
      <c r="B123" s="167"/>
      <c r="C123" s="167"/>
      <c r="D123" s="168" t="s">
        <v>563</v>
      </c>
      <c r="E123" s="191"/>
      <c r="F123" s="191"/>
      <c r="G123" s="191">
        <v>5000</v>
      </c>
      <c r="H123" s="321" t="s">
        <v>353</v>
      </c>
      <c r="I123" s="321" t="s">
        <v>688</v>
      </c>
      <c r="J123" s="342" t="s">
        <v>628</v>
      </c>
      <c r="K123" s="191">
        <v>5000</v>
      </c>
      <c r="L123" s="191">
        <f t="shared" si="16"/>
        <v>0</v>
      </c>
      <c r="M123" s="72">
        <v>5000</v>
      </c>
      <c r="N123" s="191">
        <f t="shared" si="15"/>
        <v>0</v>
      </c>
      <c r="O123" s="242">
        <f t="shared" si="14"/>
        <v>100</v>
      </c>
      <c r="P123" s="208"/>
    </row>
    <row r="124" spans="1:16" ht="37.5" x14ac:dyDescent="0.35">
      <c r="A124" s="187"/>
      <c r="B124" s="188"/>
      <c r="C124" s="188"/>
      <c r="D124" s="444" t="s">
        <v>564</v>
      </c>
      <c r="E124" s="191"/>
      <c r="F124" s="191"/>
      <c r="G124" s="191">
        <v>7000</v>
      </c>
      <c r="H124" s="321" t="s">
        <v>353</v>
      </c>
      <c r="I124" s="321" t="s">
        <v>688</v>
      </c>
      <c r="J124" s="342" t="s">
        <v>628</v>
      </c>
      <c r="K124" s="191">
        <v>7000</v>
      </c>
      <c r="L124" s="191">
        <f t="shared" si="16"/>
        <v>0</v>
      </c>
      <c r="M124" s="72">
        <v>7000</v>
      </c>
      <c r="N124" s="191">
        <f t="shared" si="15"/>
        <v>0</v>
      </c>
      <c r="O124" s="242">
        <f t="shared" si="14"/>
        <v>100</v>
      </c>
      <c r="P124" s="208"/>
    </row>
    <row r="125" spans="1:16" ht="37.5" x14ac:dyDescent="0.35">
      <c r="A125" s="187"/>
      <c r="B125" s="188"/>
      <c r="C125" s="188"/>
      <c r="D125" s="444" t="s">
        <v>565</v>
      </c>
      <c r="E125" s="191"/>
      <c r="F125" s="191"/>
      <c r="G125" s="191">
        <v>9000</v>
      </c>
      <c r="H125" s="321" t="s">
        <v>353</v>
      </c>
      <c r="I125" s="321" t="s">
        <v>688</v>
      </c>
      <c r="J125" s="342" t="s">
        <v>628</v>
      </c>
      <c r="K125" s="191">
        <v>9000</v>
      </c>
      <c r="L125" s="191">
        <f t="shared" si="16"/>
        <v>0</v>
      </c>
      <c r="M125" s="72">
        <v>9000</v>
      </c>
      <c r="N125" s="191">
        <f t="shared" si="15"/>
        <v>0</v>
      </c>
      <c r="O125" s="242">
        <f t="shared" si="14"/>
        <v>100</v>
      </c>
      <c r="P125" s="208"/>
    </row>
    <row r="126" spans="1:16" ht="37.5" x14ac:dyDescent="0.35">
      <c r="A126" s="187"/>
      <c r="B126" s="188"/>
      <c r="C126" s="188"/>
      <c r="D126" s="444" t="s">
        <v>566</v>
      </c>
      <c r="E126" s="191"/>
      <c r="F126" s="191"/>
      <c r="G126" s="191">
        <v>16000</v>
      </c>
      <c r="H126" s="321" t="s">
        <v>353</v>
      </c>
      <c r="I126" s="321" t="s">
        <v>688</v>
      </c>
      <c r="J126" s="342" t="s">
        <v>628</v>
      </c>
      <c r="K126" s="191">
        <v>16000</v>
      </c>
      <c r="L126" s="191">
        <f t="shared" si="16"/>
        <v>0</v>
      </c>
      <c r="M126" s="72">
        <v>16000</v>
      </c>
      <c r="N126" s="191">
        <f t="shared" si="15"/>
        <v>0</v>
      </c>
      <c r="O126" s="242">
        <f t="shared" si="14"/>
        <v>100</v>
      </c>
      <c r="P126" s="208"/>
    </row>
    <row r="127" spans="1:16" ht="42.75" customHeight="1" x14ac:dyDescent="0.35">
      <c r="A127" s="187"/>
      <c r="B127" s="188"/>
      <c r="C127" s="188"/>
      <c r="D127" s="444" t="s">
        <v>612</v>
      </c>
      <c r="E127" s="191"/>
      <c r="F127" s="191"/>
      <c r="G127" s="191">
        <v>860000</v>
      </c>
      <c r="H127" s="321" t="s">
        <v>860</v>
      </c>
      <c r="I127" s="323" t="s">
        <v>718</v>
      </c>
      <c r="J127" s="342" t="s">
        <v>719</v>
      </c>
      <c r="K127" s="191">
        <v>590000</v>
      </c>
      <c r="L127" s="191">
        <f t="shared" si="16"/>
        <v>270000</v>
      </c>
      <c r="M127" s="72"/>
      <c r="N127" s="191">
        <f t="shared" si="15"/>
        <v>860000</v>
      </c>
      <c r="O127" s="242">
        <f t="shared" si="14"/>
        <v>0</v>
      </c>
      <c r="P127" s="208"/>
    </row>
    <row r="128" spans="1:16" s="182" customFormat="1" ht="21" x14ac:dyDescent="0.35">
      <c r="A128" s="192"/>
      <c r="B128" s="832" t="s">
        <v>445</v>
      </c>
      <c r="C128" s="832"/>
      <c r="D128" s="833"/>
      <c r="E128" s="163">
        <f>E129</f>
        <v>1000000</v>
      </c>
      <c r="F128" s="163">
        <f>F129</f>
        <v>1000000</v>
      </c>
      <c r="G128" s="163">
        <f>G129</f>
        <v>0</v>
      </c>
      <c r="H128" s="451"/>
      <c r="I128" s="374"/>
      <c r="J128" s="374"/>
      <c r="K128" s="163">
        <f>K129</f>
        <v>889170</v>
      </c>
      <c r="L128" s="163">
        <f>L129</f>
        <v>110830</v>
      </c>
      <c r="M128" s="163">
        <f>M129</f>
        <v>0</v>
      </c>
      <c r="N128" s="163">
        <f>N129</f>
        <v>1000000</v>
      </c>
      <c r="O128" s="163">
        <f>M128*100/F128</f>
        <v>0</v>
      </c>
      <c r="P128" s="211"/>
    </row>
    <row r="129" spans="1:23" s="253" customFormat="1" ht="56.25" x14ac:dyDescent="0.35">
      <c r="A129" s="283"/>
      <c r="B129" s="284"/>
      <c r="C129" s="284"/>
      <c r="D129" s="285" t="s">
        <v>446</v>
      </c>
      <c r="E129" s="261">
        <v>1000000</v>
      </c>
      <c r="F129" s="261">
        <v>1000000</v>
      </c>
      <c r="G129" s="261">
        <v>0</v>
      </c>
      <c r="H129" s="321" t="s">
        <v>860</v>
      </c>
      <c r="I129" s="326" t="s">
        <v>918</v>
      </c>
      <c r="J129" s="342" t="s">
        <v>917</v>
      </c>
      <c r="K129" s="261">
        <v>889170</v>
      </c>
      <c r="L129" s="261">
        <f>F129-K129</f>
        <v>110830</v>
      </c>
      <c r="M129" s="261"/>
      <c r="N129" s="261">
        <f>F129-M129</f>
        <v>1000000</v>
      </c>
      <c r="O129" s="261">
        <f>M129*100/F129</f>
        <v>0</v>
      </c>
      <c r="P129" s="262" t="s">
        <v>444</v>
      </c>
      <c r="Q129" s="296"/>
    </row>
    <row r="130" spans="1:23" ht="47.25" customHeight="1" x14ac:dyDescent="0.35">
      <c r="A130" s="868" t="s">
        <v>554</v>
      </c>
      <c r="B130" s="869"/>
      <c r="C130" s="869"/>
      <c r="D130" s="870"/>
      <c r="E130" s="195">
        <f>E131+E135+E136+E137+E138+E139+E140+E141+E142+E143</f>
        <v>119937000</v>
      </c>
      <c r="F130" s="195"/>
      <c r="G130" s="195">
        <f>G131+G135+G136+G137+G138+G139+G140+G141+G142+G143</f>
        <v>119937000</v>
      </c>
      <c r="H130" s="457"/>
      <c r="I130" s="382"/>
      <c r="J130" s="382"/>
      <c r="K130" s="195">
        <f>K131+K135+K136+K137+K138+K139+K140+K141+K142+K143</f>
        <v>79994981</v>
      </c>
      <c r="L130" s="195">
        <f>L131+L135+L136+L137+L138+L139+L140+L141+L142+L143</f>
        <v>23642019</v>
      </c>
      <c r="M130" s="195">
        <f>M131+M135+M136+M137+M138+M139+M140+M141+M142+M143</f>
        <v>1137000</v>
      </c>
      <c r="N130" s="195">
        <f>N131+N135+N136+N137+N138+N139+N140+N141+N142+N143</f>
        <v>118800000</v>
      </c>
      <c r="O130" s="355">
        <f>M130*100/G130</f>
        <v>0.94799769879186568</v>
      </c>
      <c r="P130" s="212"/>
    </row>
    <row r="131" spans="1:23" s="310" customFormat="1" ht="37.5" x14ac:dyDescent="0.3">
      <c r="A131" s="871" t="s">
        <v>447</v>
      </c>
      <c r="B131" s="871"/>
      <c r="C131" s="871"/>
      <c r="D131" s="871"/>
      <c r="E131" s="308">
        <f>E132+E133</f>
        <v>23000000</v>
      </c>
      <c r="F131" s="308"/>
      <c r="G131" s="308">
        <f>G132+G133</f>
        <v>23000000</v>
      </c>
      <c r="H131" s="458"/>
      <c r="I131" s="383"/>
      <c r="J131" s="383"/>
      <c r="K131" s="308">
        <f>K132+K133</f>
        <v>16030000</v>
      </c>
      <c r="L131" s="308">
        <f>L132+L133</f>
        <v>670000</v>
      </c>
      <c r="M131" s="308">
        <f>M132+M133</f>
        <v>0</v>
      </c>
      <c r="N131" s="308">
        <f>N132+N133</f>
        <v>23000000</v>
      </c>
      <c r="O131" s="308">
        <f t="shared" ref="O131:O143" si="17">M131*100/E131</f>
        <v>0</v>
      </c>
      <c r="P131" s="309" t="s">
        <v>543</v>
      </c>
      <c r="Q131" s="296"/>
      <c r="R131" s="296"/>
      <c r="S131" s="296"/>
      <c r="T131" s="296"/>
      <c r="U131" s="296"/>
      <c r="V131" s="296"/>
      <c r="W131" s="296"/>
    </row>
    <row r="132" spans="1:23" s="253" customFormat="1" ht="51" customHeight="1" x14ac:dyDescent="0.35">
      <c r="A132" s="251"/>
      <c r="B132" s="838" t="s">
        <v>448</v>
      </c>
      <c r="C132" s="838"/>
      <c r="D132" s="839"/>
      <c r="E132" s="286">
        <f>G132</f>
        <v>7100000</v>
      </c>
      <c r="F132" s="286"/>
      <c r="G132" s="286">
        <v>7100000</v>
      </c>
      <c r="H132" s="322" t="s">
        <v>860</v>
      </c>
      <c r="I132" s="358" t="s">
        <v>716</v>
      </c>
      <c r="J132" s="343" t="s">
        <v>717</v>
      </c>
      <c r="K132" s="286">
        <v>6530000</v>
      </c>
      <c r="L132" s="286">
        <f>G132-K132</f>
        <v>570000</v>
      </c>
      <c r="M132" s="286">
        <v>0</v>
      </c>
      <c r="N132" s="286">
        <f>E132-M132</f>
        <v>7100000</v>
      </c>
      <c r="O132" s="287">
        <f t="shared" si="17"/>
        <v>0</v>
      </c>
      <c r="P132" s="262"/>
      <c r="Q132" s="296"/>
      <c r="R132" s="296"/>
      <c r="S132" s="296"/>
      <c r="T132" s="296"/>
      <c r="U132" s="296"/>
      <c r="V132" s="296"/>
      <c r="W132" s="296"/>
    </row>
    <row r="133" spans="1:23" s="253" customFormat="1" ht="48.75" customHeight="1" x14ac:dyDescent="0.35">
      <c r="A133" s="259"/>
      <c r="B133" s="834" t="s">
        <v>449</v>
      </c>
      <c r="C133" s="834"/>
      <c r="D133" s="835"/>
      <c r="E133" s="286">
        <f t="shared" ref="E133:E143" si="18">G133</f>
        <v>15900000</v>
      </c>
      <c r="F133" s="288"/>
      <c r="G133" s="288">
        <v>15900000</v>
      </c>
      <c r="H133" s="322" t="s">
        <v>860</v>
      </c>
      <c r="I133" s="360" t="s">
        <v>724</v>
      </c>
      <c r="J133" s="343" t="s">
        <v>723</v>
      </c>
      <c r="K133" s="288">
        <v>9500000</v>
      </c>
      <c r="L133" s="286">
        <v>100000</v>
      </c>
      <c r="M133" s="288">
        <v>0</v>
      </c>
      <c r="N133" s="286">
        <f>E133-M133</f>
        <v>15900000</v>
      </c>
      <c r="O133" s="287">
        <f t="shared" si="17"/>
        <v>0</v>
      </c>
      <c r="P133" s="262"/>
      <c r="Q133" s="296"/>
      <c r="R133" s="296"/>
      <c r="S133" s="296"/>
      <c r="T133" s="296"/>
      <c r="U133" s="296"/>
      <c r="V133" s="296"/>
      <c r="W133" s="296"/>
    </row>
    <row r="134" spans="1:23" s="253" customFormat="1" ht="30.75" customHeight="1" x14ac:dyDescent="0.35">
      <c r="A134" s="561"/>
      <c r="B134" s="838" t="s">
        <v>920</v>
      </c>
      <c r="C134" s="838"/>
      <c r="D134" s="839"/>
      <c r="E134" s="286"/>
      <c r="F134" s="288"/>
      <c r="G134" s="288"/>
      <c r="H134" s="322"/>
      <c r="I134" s="360"/>
      <c r="J134" s="343"/>
      <c r="K134" s="288"/>
      <c r="L134" s="286"/>
      <c r="M134" s="288"/>
      <c r="N134" s="286"/>
      <c r="O134" s="287"/>
      <c r="P134" s="262"/>
      <c r="Q134" s="296"/>
      <c r="R134" s="296"/>
      <c r="S134" s="296"/>
      <c r="T134" s="296"/>
      <c r="U134" s="296"/>
      <c r="V134" s="296"/>
      <c r="W134" s="296"/>
    </row>
    <row r="135" spans="1:23" s="314" customFormat="1" ht="50.25" customHeight="1" x14ac:dyDescent="0.3">
      <c r="A135" s="865" t="s">
        <v>509</v>
      </c>
      <c r="B135" s="866"/>
      <c r="C135" s="866"/>
      <c r="D135" s="867"/>
      <c r="E135" s="311">
        <f t="shared" si="18"/>
        <v>5000000</v>
      </c>
      <c r="F135" s="312"/>
      <c r="G135" s="312">
        <v>5000000</v>
      </c>
      <c r="H135" s="460" t="s">
        <v>637</v>
      </c>
      <c r="I135" s="362"/>
      <c r="J135" s="366"/>
      <c r="K135" s="312">
        <v>0</v>
      </c>
      <c r="L135" s="312">
        <v>0</v>
      </c>
      <c r="M135" s="312">
        <v>0</v>
      </c>
      <c r="N135" s="312">
        <f t="shared" ref="N135:N143" si="19">G135-M135</f>
        <v>5000000</v>
      </c>
      <c r="O135" s="308">
        <f t="shared" si="17"/>
        <v>0</v>
      </c>
      <c r="P135" s="313" t="s">
        <v>29</v>
      </c>
      <c r="Q135" s="299"/>
      <c r="R135" s="299"/>
      <c r="S135" s="299"/>
      <c r="T135" s="299"/>
      <c r="U135" s="299"/>
      <c r="V135" s="299"/>
      <c r="W135" s="299"/>
    </row>
    <row r="136" spans="1:23" s="314" customFormat="1" ht="42" customHeight="1" x14ac:dyDescent="0.3">
      <c r="A136" s="856" t="s">
        <v>510</v>
      </c>
      <c r="B136" s="857"/>
      <c r="C136" s="857"/>
      <c r="D136" s="858"/>
      <c r="E136" s="311">
        <f t="shared" si="18"/>
        <v>5000000</v>
      </c>
      <c r="F136" s="312"/>
      <c r="G136" s="312">
        <v>5000000</v>
      </c>
      <c r="H136" s="460" t="s">
        <v>637</v>
      </c>
      <c r="I136" s="384"/>
      <c r="J136" s="384"/>
      <c r="K136" s="312">
        <v>0</v>
      </c>
      <c r="L136" s="312">
        <v>0</v>
      </c>
      <c r="M136" s="312">
        <v>0</v>
      </c>
      <c r="N136" s="312">
        <f t="shared" si="19"/>
        <v>5000000</v>
      </c>
      <c r="O136" s="308">
        <f t="shared" si="17"/>
        <v>0</v>
      </c>
      <c r="P136" s="313" t="s">
        <v>29</v>
      </c>
      <c r="Q136" s="299"/>
      <c r="R136" s="299"/>
      <c r="S136" s="299"/>
      <c r="T136" s="299"/>
      <c r="U136" s="299"/>
      <c r="V136" s="299"/>
      <c r="W136" s="299"/>
    </row>
    <row r="137" spans="1:23" s="314" customFormat="1" ht="38.25" customHeight="1" x14ac:dyDescent="0.3">
      <c r="A137" s="859" t="s">
        <v>450</v>
      </c>
      <c r="B137" s="859"/>
      <c r="C137" s="859"/>
      <c r="D137" s="859"/>
      <c r="E137" s="311">
        <f t="shared" si="18"/>
        <v>20000000</v>
      </c>
      <c r="F137" s="312"/>
      <c r="G137" s="312">
        <v>20000000</v>
      </c>
      <c r="H137" s="319" t="s">
        <v>860</v>
      </c>
      <c r="I137" s="320" t="s">
        <v>684</v>
      </c>
      <c r="J137" s="366" t="s">
        <v>683</v>
      </c>
      <c r="K137" s="312">
        <v>12427732</v>
      </c>
      <c r="L137" s="464">
        <f t="shared" ref="L137:L143" si="20">G137-K137</f>
        <v>7572268</v>
      </c>
      <c r="M137" s="312">
        <v>0</v>
      </c>
      <c r="N137" s="312">
        <f t="shared" si="19"/>
        <v>20000000</v>
      </c>
      <c r="O137" s="308">
        <f t="shared" si="17"/>
        <v>0</v>
      </c>
      <c r="P137" s="313" t="s">
        <v>29</v>
      </c>
      <c r="Q137" s="299"/>
      <c r="R137" s="299"/>
      <c r="S137" s="299"/>
      <c r="T137" s="299"/>
      <c r="U137" s="299"/>
      <c r="V137" s="299"/>
      <c r="W137" s="299"/>
    </row>
    <row r="138" spans="1:23" s="314" customFormat="1" ht="36" customHeight="1" x14ac:dyDescent="0.3">
      <c r="A138" s="859" t="s">
        <v>451</v>
      </c>
      <c r="B138" s="859"/>
      <c r="C138" s="859"/>
      <c r="D138" s="859"/>
      <c r="E138" s="311">
        <f t="shared" si="18"/>
        <v>20000000</v>
      </c>
      <c r="F138" s="312"/>
      <c r="G138" s="312">
        <v>20000000</v>
      </c>
      <c r="H138" s="319" t="s">
        <v>860</v>
      </c>
      <c r="I138" s="320" t="s">
        <v>684</v>
      </c>
      <c r="J138" s="366" t="s">
        <v>683</v>
      </c>
      <c r="K138" s="312">
        <v>12436197</v>
      </c>
      <c r="L138" s="312">
        <f t="shared" si="20"/>
        <v>7563803</v>
      </c>
      <c r="M138" s="312">
        <v>0</v>
      </c>
      <c r="N138" s="312">
        <f t="shared" si="19"/>
        <v>20000000</v>
      </c>
      <c r="O138" s="308">
        <f t="shared" si="17"/>
        <v>0</v>
      </c>
      <c r="P138" s="313" t="s">
        <v>29</v>
      </c>
      <c r="Q138" s="299"/>
      <c r="R138" s="299"/>
      <c r="S138" s="299"/>
      <c r="T138" s="299"/>
      <c r="U138" s="299"/>
      <c r="V138" s="299"/>
      <c r="W138" s="299"/>
    </row>
    <row r="139" spans="1:23" s="314" customFormat="1" ht="38.25" customHeight="1" x14ac:dyDescent="0.3">
      <c r="A139" s="859" t="s">
        <v>452</v>
      </c>
      <c r="B139" s="859"/>
      <c r="C139" s="859"/>
      <c r="D139" s="859"/>
      <c r="E139" s="311">
        <f t="shared" si="18"/>
        <v>20000000</v>
      </c>
      <c r="F139" s="312"/>
      <c r="G139" s="312">
        <v>20000000</v>
      </c>
      <c r="H139" s="319" t="s">
        <v>860</v>
      </c>
      <c r="I139" s="320" t="s">
        <v>684</v>
      </c>
      <c r="J139" s="366" t="s">
        <v>683</v>
      </c>
      <c r="K139" s="312">
        <v>12366052</v>
      </c>
      <c r="L139" s="312">
        <f t="shared" si="20"/>
        <v>7633948</v>
      </c>
      <c r="M139" s="312">
        <v>0</v>
      </c>
      <c r="N139" s="312">
        <f t="shared" si="19"/>
        <v>20000000</v>
      </c>
      <c r="O139" s="308">
        <f t="shared" si="17"/>
        <v>0</v>
      </c>
      <c r="P139" s="313" t="s">
        <v>29</v>
      </c>
      <c r="Q139" s="299"/>
      <c r="R139" s="299"/>
      <c r="S139" s="299"/>
      <c r="T139" s="299"/>
      <c r="U139" s="299"/>
      <c r="V139" s="299"/>
      <c r="W139" s="299"/>
    </row>
    <row r="140" spans="1:23" s="314" customFormat="1" ht="36" customHeight="1" x14ac:dyDescent="0.3">
      <c r="A140" s="859" t="s">
        <v>453</v>
      </c>
      <c r="B140" s="859"/>
      <c r="C140" s="859"/>
      <c r="D140" s="859"/>
      <c r="E140" s="311">
        <f t="shared" si="18"/>
        <v>25800000</v>
      </c>
      <c r="F140" s="312"/>
      <c r="G140" s="312">
        <v>25800000</v>
      </c>
      <c r="H140" s="319" t="s">
        <v>860</v>
      </c>
      <c r="I140" s="319" t="s">
        <v>682</v>
      </c>
      <c r="J140" s="366" t="s">
        <v>681</v>
      </c>
      <c r="K140" s="312">
        <v>25598000</v>
      </c>
      <c r="L140" s="312">
        <f t="shared" si="20"/>
        <v>202000</v>
      </c>
      <c r="M140" s="312">
        <v>0</v>
      </c>
      <c r="N140" s="312">
        <f t="shared" si="19"/>
        <v>25800000</v>
      </c>
      <c r="O140" s="308">
        <f t="shared" si="17"/>
        <v>0</v>
      </c>
      <c r="P140" s="313" t="s">
        <v>29</v>
      </c>
      <c r="Q140" s="299"/>
      <c r="R140" s="299"/>
      <c r="S140" s="299"/>
      <c r="T140" s="299"/>
      <c r="U140" s="299"/>
      <c r="V140" s="299"/>
      <c r="W140" s="299"/>
    </row>
    <row r="141" spans="1:23" s="310" customFormat="1" ht="44.25" customHeight="1" x14ac:dyDescent="0.3">
      <c r="A141" s="860" t="s">
        <v>454</v>
      </c>
      <c r="B141" s="860"/>
      <c r="C141" s="860"/>
      <c r="D141" s="860"/>
      <c r="E141" s="311">
        <f t="shared" si="18"/>
        <v>261000</v>
      </c>
      <c r="F141" s="315"/>
      <c r="G141" s="315">
        <v>261000</v>
      </c>
      <c r="H141" s="328" t="s">
        <v>353</v>
      </c>
      <c r="I141" s="328" t="s">
        <v>702</v>
      </c>
      <c r="J141" s="366" t="s">
        <v>629</v>
      </c>
      <c r="K141" s="315">
        <v>261000</v>
      </c>
      <c r="L141" s="312">
        <f t="shared" si="20"/>
        <v>0</v>
      </c>
      <c r="M141" s="315">
        <v>261000</v>
      </c>
      <c r="N141" s="312">
        <f t="shared" si="19"/>
        <v>0</v>
      </c>
      <c r="O141" s="354">
        <f t="shared" si="17"/>
        <v>100</v>
      </c>
      <c r="P141" s="313" t="s">
        <v>8</v>
      </c>
      <c r="Q141" s="296"/>
      <c r="R141" s="296"/>
      <c r="S141" s="296"/>
      <c r="T141" s="296"/>
      <c r="U141" s="296"/>
      <c r="V141" s="296"/>
      <c r="W141" s="296"/>
    </row>
    <row r="142" spans="1:23" s="310" customFormat="1" ht="41.25" customHeight="1" x14ac:dyDescent="0.3">
      <c r="A142" s="860" t="s">
        <v>455</v>
      </c>
      <c r="B142" s="860"/>
      <c r="C142" s="860"/>
      <c r="D142" s="860"/>
      <c r="E142" s="311">
        <f t="shared" si="18"/>
        <v>472000</v>
      </c>
      <c r="F142" s="315"/>
      <c r="G142" s="315">
        <v>472000</v>
      </c>
      <c r="H142" s="328" t="s">
        <v>353</v>
      </c>
      <c r="I142" s="328" t="s">
        <v>703</v>
      </c>
      <c r="J142" s="366" t="s">
        <v>629</v>
      </c>
      <c r="K142" s="315">
        <v>472000</v>
      </c>
      <c r="L142" s="312">
        <f t="shared" si="20"/>
        <v>0</v>
      </c>
      <c r="M142" s="315">
        <v>472000</v>
      </c>
      <c r="N142" s="312">
        <f t="shared" si="19"/>
        <v>0</v>
      </c>
      <c r="O142" s="354">
        <f t="shared" si="17"/>
        <v>100</v>
      </c>
      <c r="P142" s="313" t="s">
        <v>8</v>
      </c>
      <c r="Q142" s="296"/>
      <c r="R142" s="296"/>
      <c r="S142" s="296"/>
      <c r="T142" s="296"/>
      <c r="U142" s="296"/>
      <c r="V142" s="296"/>
      <c r="W142" s="296"/>
    </row>
    <row r="143" spans="1:23" s="310" customFormat="1" ht="34.5" x14ac:dyDescent="0.3">
      <c r="A143" s="860" t="s">
        <v>456</v>
      </c>
      <c r="B143" s="860"/>
      <c r="C143" s="860"/>
      <c r="D143" s="860"/>
      <c r="E143" s="311">
        <f t="shared" si="18"/>
        <v>404000</v>
      </c>
      <c r="F143" s="312"/>
      <c r="G143" s="312">
        <v>404000</v>
      </c>
      <c r="H143" s="328" t="s">
        <v>353</v>
      </c>
      <c r="I143" s="384"/>
      <c r="J143" s="366" t="s">
        <v>630</v>
      </c>
      <c r="K143" s="312">
        <v>404000</v>
      </c>
      <c r="L143" s="312">
        <f t="shared" si="20"/>
        <v>0</v>
      </c>
      <c r="M143" s="312">
        <v>404000</v>
      </c>
      <c r="N143" s="312">
        <f t="shared" si="19"/>
        <v>0</v>
      </c>
      <c r="O143" s="354">
        <f t="shared" si="17"/>
        <v>100</v>
      </c>
      <c r="P143" s="313" t="s">
        <v>8</v>
      </c>
      <c r="Q143" s="296"/>
      <c r="R143" s="296"/>
      <c r="S143" s="296"/>
      <c r="T143" s="296"/>
      <c r="U143" s="296"/>
      <c r="V143" s="296"/>
      <c r="W143" s="296"/>
    </row>
    <row r="144" spans="1:23" ht="42.75" customHeight="1" x14ac:dyDescent="0.3">
      <c r="A144" s="861" t="s">
        <v>457</v>
      </c>
      <c r="B144" s="862"/>
      <c r="C144" s="862"/>
      <c r="D144" s="863"/>
      <c r="E144" s="196">
        <f>F144+G144</f>
        <v>382401600</v>
      </c>
      <c r="F144" s="196">
        <f t="shared" ref="F144:G144" si="21">F145+F152+F199+F204</f>
        <v>47500000</v>
      </c>
      <c r="G144" s="196">
        <f t="shared" si="21"/>
        <v>334901600</v>
      </c>
      <c r="H144" s="442"/>
      <c r="I144" s="385"/>
      <c r="J144" s="385"/>
      <c r="K144" s="196">
        <f t="shared" ref="K144" si="22">K145+K152+K199+K204</f>
        <v>244109999</v>
      </c>
      <c r="L144" s="196">
        <f>L145+L152++L199+L204</f>
        <v>7215601</v>
      </c>
      <c r="M144" s="196">
        <f>M145+M152+M199+M204</f>
        <v>25918150</v>
      </c>
      <c r="N144" s="196">
        <f>N145+N152+N199+N204</f>
        <v>356483450</v>
      </c>
      <c r="O144" s="196"/>
      <c r="P144" s="214"/>
      <c r="Q144" s="296"/>
      <c r="R144" s="296"/>
      <c r="S144" s="296"/>
      <c r="T144" s="296"/>
      <c r="U144" s="296"/>
      <c r="V144" s="296"/>
      <c r="W144" s="296"/>
    </row>
    <row r="145" spans="1:23" ht="21" x14ac:dyDescent="0.3">
      <c r="A145" s="864" t="s">
        <v>458</v>
      </c>
      <c r="B145" s="864"/>
      <c r="C145" s="864"/>
      <c r="D145" s="864"/>
      <c r="E145" s="197">
        <f>E146+E148</f>
        <v>52000000</v>
      </c>
      <c r="F145" s="197">
        <f t="shared" ref="F145:G145" si="23">F146+F148</f>
        <v>12000000</v>
      </c>
      <c r="G145" s="197">
        <f t="shared" si="23"/>
        <v>40000000</v>
      </c>
      <c r="H145" s="450"/>
      <c r="I145" s="373"/>
      <c r="J145" s="373"/>
      <c r="K145" s="197">
        <f t="shared" ref="K145:L145" si="24">K146+K148</f>
        <v>0</v>
      </c>
      <c r="L145" s="197">
        <f t="shared" si="24"/>
        <v>0</v>
      </c>
      <c r="M145" s="197">
        <f>M146+M148</f>
        <v>0</v>
      </c>
      <c r="N145" s="197">
        <f>N146+N148</f>
        <v>52000000</v>
      </c>
      <c r="O145" s="197"/>
      <c r="P145" s="215"/>
      <c r="Q145" s="296"/>
      <c r="R145" s="296"/>
      <c r="S145" s="296"/>
      <c r="T145" s="296"/>
      <c r="U145" s="296"/>
      <c r="V145" s="296"/>
      <c r="W145" s="296"/>
    </row>
    <row r="146" spans="1:23" s="182" customFormat="1" ht="21" x14ac:dyDescent="0.35">
      <c r="A146" s="185"/>
      <c r="B146" s="836" t="s">
        <v>459</v>
      </c>
      <c r="C146" s="836"/>
      <c r="D146" s="837"/>
      <c r="E146" s="198">
        <f>E147</f>
        <v>12000000</v>
      </c>
      <c r="F146" s="198">
        <f t="shared" ref="F146:G146" si="25">F147</f>
        <v>12000000</v>
      </c>
      <c r="G146" s="198">
        <f t="shared" si="25"/>
        <v>0</v>
      </c>
      <c r="H146" s="451"/>
      <c r="I146" s="374"/>
      <c r="J146" s="374"/>
      <c r="K146" s="198">
        <f t="shared" ref="K146:L146" si="26">K147</f>
        <v>0</v>
      </c>
      <c r="L146" s="198">
        <f t="shared" si="26"/>
        <v>0</v>
      </c>
      <c r="M146" s="198">
        <f>M147</f>
        <v>0</v>
      </c>
      <c r="N146" s="198">
        <f>N147</f>
        <v>12000000</v>
      </c>
      <c r="O146" s="198"/>
      <c r="P146" s="216"/>
      <c r="Q146" s="334"/>
      <c r="R146" s="334"/>
      <c r="S146" s="334"/>
      <c r="T146" s="334"/>
      <c r="U146" s="334"/>
      <c r="V146" s="334"/>
      <c r="W146" s="334"/>
    </row>
    <row r="147" spans="1:23" s="253" customFormat="1" ht="59.25" customHeight="1" x14ac:dyDescent="0.35">
      <c r="A147" s="251"/>
      <c r="B147" s="252"/>
      <c r="C147" s="838" t="s">
        <v>511</v>
      </c>
      <c r="D147" s="839"/>
      <c r="E147" s="263">
        <v>12000000</v>
      </c>
      <c r="F147" s="263">
        <v>12000000</v>
      </c>
      <c r="G147" s="263"/>
      <c r="H147" s="321" t="s">
        <v>862</v>
      </c>
      <c r="I147" s="381"/>
      <c r="J147" s="381"/>
      <c r="K147" s="263"/>
      <c r="L147" s="263"/>
      <c r="M147" s="263">
        <v>0</v>
      </c>
      <c r="N147" s="263">
        <f>F147-M147</f>
        <v>12000000</v>
      </c>
      <c r="O147" s="263"/>
      <c r="P147" s="262" t="s">
        <v>460</v>
      </c>
      <c r="Q147" s="296"/>
      <c r="R147" s="296"/>
      <c r="S147" s="296"/>
      <c r="T147" s="296"/>
      <c r="U147" s="296"/>
      <c r="V147" s="296"/>
      <c r="W147" s="296"/>
    </row>
    <row r="148" spans="1:23" s="182" customFormat="1" ht="21" x14ac:dyDescent="0.35">
      <c r="A148" s="185"/>
      <c r="B148" s="836" t="s">
        <v>461</v>
      </c>
      <c r="C148" s="836"/>
      <c r="D148" s="837"/>
      <c r="E148" s="163">
        <f>E149</f>
        <v>40000000</v>
      </c>
      <c r="F148" s="163">
        <f>F149</f>
        <v>0</v>
      </c>
      <c r="G148" s="163">
        <f>G149</f>
        <v>40000000</v>
      </c>
      <c r="H148" s="451"/>
      <c r="I148" s="374"/>
      <c r="J148" s="374"/>
      <c r="K148" s="163">
        <f>K149</f>
        <v>0</v>
      </c>
      <c r="L148" s="163">
        <f>L149</f>
        <v>0</v>
      </c>
      <c r="M148" s="163">
        <f>M149</f>
        <v>0</v>
      </c>
      <c r="N148" s="163">
        <f>N149</f>
        <v>40000000</v>
      </c>
      <c r="O148" s="163"/>
      <c r="P148" s="211"/>
      <c r="Q148" s="334"/>
      <c r="R148" s="334"/>
      <c r="S148" s="334"/>
      <c r="T148" s="334"/>
      <c r="U148" s="334"/>
      <c r="V148" s="334"/>
      <c r="W148" s="334"/>
    </row>
    <row r="149" spans="1:23" s="253" customFormat="1" ht="37.5" x14ac:dyDescent="0.35">
      <c r="A149" s="251"/>
      <c r="B149" s="252"/>
      <c r="C149" s="838" t="s">
        <v>462</v>
      </c>
      <c r="D149" s="839"/>
      <c r="E149" s="269">
        <f>E150+E151</f>
        <v>40000000</v>
      </c>
      <c r="F149" s="269"/>
      <c r="G149" s="269">
        <f>G150+G151</f>
        <v>40000000</v>
      </c>
      <c r="H149" s="404"/>
      <c r="I149" s="379"/>
      <c r="J149" s="379"/>
      <c r="K149" s="269">
        <f>K150+K151</f>
        <v>0</v>
      </c>
      <c r="L149" s="269">
        <f>L150+L151</f>
        <v>0</v>
      </c>
      <c r="M149" s="269">
        <f>M150+M151</f>
        <v>0</v>
      </c>
      <c r="N149" s="269">
        <f>N150+N151</f>
        <v>40000000</v>
      </c>
      <c r="O149" s="269"/>
      <c r="P149" s="262" t="s">
        <v>538</v>
      </c>
      <c r="Q149" s="296"/>
      <c r="R149" s="296"/>
      <c r="S149" s="296"/>
      <c r="T149" s="296"/>
      <c r="U149" s="296"/>
      <c r="V149" s="296"/>
      <c r="W149" s="296"/>
    </row>
    <row r="150" spans="1:23" ht="60.75" customHeight="1" x14ac:dyDescent="0.35">
      <c r="A150" s="166"/>
      <c r="B150" s="167"/>
      <c r="C150" s="200"/>
      <c r="D150" s="246" t="s">
        <v>463</v>
      </c>
      <c r="E150" s="199">
        <f>G150</f>
        <v>18000000</v>
      </c>
      <c r="F150" s="199"/>
      <c r="G150" s="199">
        <v>18000000</v>
      </c>
      <c r="H150" s="325" t="s">
        <v>863</v>
      </c>
      <c r="I150" s="386"/>
      <c r="J150" s="386"/>
      <c r="K150" s="199"/>
      <c r="L150" s="199">
        <v>0</v>
      </c>
      <c r="M150" s="229">
        <v>0</v>
      </c>
      <c r="N150" s="199">
        <f>G150-M150</f>
        <v>18000000</v>
      </c>
      <c r="O150" s="199"/>
      <c r="P150" s="217"/>
      <c r="Q150" s="296"/>
      <c r="R150" s="296"/>
      <c r="S150" s="296"/>
      <c r="T150" s="296"/>
      <c r="U150" s="296"/>
      <c r="V150" s="296"/>
      <c r="W150" s="296"/>
    </row>
    <row r="151" spans="1:23" ht="45" customHeight="1" x14ac:dyDescent="0.35">
      <c r="A151" s="166"/>
      <c r="B151" s="167"/>
      <c r="C151" s="200"/>
      <c r="D151" s="246" t="s">
        <v>464</v>
      </c>
      <c r="E151" s="199">
        <f>G151</f>
        <v>22000000</v>
      </c>
      <c r="F151" s="199"/>
      <c r="G151" s="199">
        <v>22000000</v>
      </c>
      <c r="H151" s="325" t="s">
        <v>864</v>
      </c>
      <c r="I151" s="386"/>
      <c r="J151" s="386"/>
      <c r="K151" s="199"/>
      <c r="L151" s="199">
        <v>0</v>
      </c>
      <c r="M151" s="229">
        <v>0</v>
      </c>
      <c r="N151" s="199">
        <f>G151-M151</f>
        <v>22000000</v>
      </c>
      <c r="O151" s="199"/>
      <c r="P151" s="217"/>
      <c r="Q151" s="296"/>
      <c r="R151" s="296"/>
      <c r="S151" s="296"/>
      <c r="T151" s="296"/>
      <c r="U151" s="296"/>
      <c r="V151" s="296"/>
      <c r="W151" s="296"/>
    </row>
    <row r="152" spans="1:23" ht="21" x14ac:dyDescent="0.3">
      <c r="A152" s="840" t="s">
        <v>711</v>
      </c>
      <c r="B152" s="841"/>
      <c r="C152" s="841"/>
      <c r="D152" s="842"/>
      <c r="E152" s="184">
        <f>E153+E172+E175+E196</f>
        <v>303901600</v>
      </c>
      <c r="F152" s="184">
        <f t="shared" ref="F152:G152" si="27">F153+F172+F175+F196</f>
        <v>10000000</v>
      </c>
      <c r="G152" s="184">
        <f t="shared" si="27"/>
        <v>293901600</v>
      </c>
      <c r="H152" s="450"/>
      <c r="I152" s="373"/>
      <c r="J152" s="373"/>
      <c r="K152" s="184">
        <f t="shared" ref="K152:L152" si="28">K153+K172+K175+K196</f>
        <v>243219999</v>
      </c>
      <c r="L152" s="184">
        <f t="shared" si="28"/>
        <v>7105601</v>
      </c>
      <c r="M152" s="184">
        <f>M153+M172+M175+M196</f>
        <v>25747650</v>
      </c>
      <c r="N152" s="184">
        <f>N153+N172+N175+N196</f>
        <v>278153950</v>
      </c>
      <c r="O152" s="232">
        <f>M152*100/K152</f>
        <v>10.586156609596895</v>
      </c>
      <c r="P152" s="215"/>
      <c r="Q152" s="296"/>
      <c r="R152" s="296"/>
      <c r="S152" s="296"/>
      <c r="T152" s="296"/>
      <c r="U152" s="296"/>
      <c r="V152" s="296"/>
      <c r="W152" s="296"/>
    </row>
    <row r="153" spans="1:23" s="182" customFormat="1" ht="21" x14ac:dyDescent="0.35">
      <c r="A153" s="185"/>
      <c r="B153" s="836" t="s">
        <v>465</v>
      </c>
      <c r="C153" s="836"/>
      <c r="D153" s="837"/>
      <c r="E153" s="163">
        <f>E154+E163+E164+E165+E166+E167+E168+E169+E170+E171</f>
        <v>61205600</v>
      </c>
      <c r="F153" s="163">
        <f t="shared" ref="F153:G153" si="29">F154+F163+F164+F165+F166+F167+F168+F169+F170+F171</f>
        <v>0</v>
      </c>
      <c r="G153" s="163">
        <f t="shared" si="29"/>
        <v>61205600</v>
      </c>
      <c r="H153" s="451"/>
      <c r="I153" s="374"/>
      <c r="J153" s="374"/>
      <c r="K153" s="163">
        <f t="shared" ref="K153:L153" si="30">K154+K163+K164+K165+K166+K167+K168+K169+K170+K171</f>
        <v>58711000</v>
      </c>
      <c r="L153" s="163">
        <f t="shared" si="30"/>
        <v>2494600</v>
      </c>
      <c r="M153" s="163">
        <f>M154+M163+M164+M165+M166+M167+M168+M169+M170+M171</f>
        <v>1513000</v>
      </c>
      <c r="N153" s="163">
        <f>N154+N163+N164+N165+N166+N167+N168+N169+N170+N171</f>
        <v>59692600</v>
      </c>
      <c r="O153" s="239">
        <f>M153*100/K153</f>
        <v>2.5770298581185807</v>
      </c>
      <c r="P153" s="211"/>
      <c r="Q153" s="334"/>
      <c r="R153" s="334"/>
      <c r="S153" s="334"/>
      <c r="T153" s="334"/>
      <c r="U153" s="334"/>
      <c r="V153" s="334"/>
      <c r="W153" s="334"/>
    </row>
    <row r="154" spans="1:23" s="270" customFormat="1" ht="75" x14ac:dyDescent="0.35">
      <c r="A154" s="271"/>
      <c r="B154" s="272"/>
      <c r="C154" s="843" t="s">
        <v>466</v>
      </c>
      <c r="D154" s="844"/>
      <c r="E154" s="263">
        <v>9300000</v>
      </c>
      <c r="F154" s="263"/>
      <c r="G154" s="263">
        <v>9300000</v>
      </c>
      <c r="H154" s="326" t="s">
        <v>860</v>
      </c>
      <c r="I154" s="326" t="s">
        <v>696</v>
      </c>
      <c r="J154" s="343" t="s">
        <v>697</v>
      </c>
      <c r="K154" s="263">
        <v>9144000</v>
      </c>
      <c r="L154" s="263">
        <f>G154-K154</f>
        <v>156000</v>
      </c>
      <c r="M154" s="263">
        <v>0</v>
      </c>
      <c r="N154" s="263">
        <f t="shared" ref="N154:N171" si="31">G154-M154</f>
        <v>9300000</v>
      </c>
      <c r="O154" s="263">
        <f>M154*100/G154</f>
        <v>0</v>
      </c>
      <c r="P154" s="262" t="s">
        <v>407</v>
      </c>
      <c r="Q154" s="299"/>
      <c r="R154" s="299"/>
      <c r="S154" s="299"/>
      <c r="T154" s="299"/>
      <c r="U154" s="299"/>
      <c r="V154" s="299"/>
      <c r="W154" s="299"/>
    </row>
    <row r="155" spans="1:23" s="253" customFormat="1" ht="42" hidden="1" x14ac:dyDescent="0.35">
      <c r="A155" s="259"/>
      <c r="B155" s="260"/>
      <c r="C155" s="260"/>
      <c r="D155" s="447" t="s">
        <v>467</v>
      </c>
      <c r="E155" s="263"/>
      <c r="F155" s="263"/>
      <c r="G155" s="263"/>
      <c r="H155" s="326" t="s">
        <v>860</v>
      </c>
      <c r="I155" s="381"/>
      <c r="J155" s="381"/>
      <c r="K155" s="263"/>
      <c r="L155" s="263">
        <f t="shared" ref="L155:L171" si="32">G155-K155</f>
        <v>0</v>
      </c>
      <c r="M155" s="263"/>
      <c r="N155" s="263">
        <f t="shared" si="31"/>
        <v>0</v>
      </c>
      <c r="O155" s="263"/>
      <c r="P155" s="262"/>
      <c r="Q155" s="296"/>
      <c r="R155" s="296"/>
      <c r="S155" s="296"/>
      <c r="T155" s="296"/>
      <c r="U155" s="296"/>
      <c r="V155" s="296"/>
      <c r="W155" s="296"/>
    </row>
    <row r="156" spans="1:23" s="253" customFormat="1" ht="42" hidden="1" x14ac:dyDescent="0.35">
      <c r="A156" s="259"/>
      <c r="B156" s="260"/>
      <c r="C156" s="260"/>
      <c r="D156" s="447" t="s">
        <v>512</v>
      </c>
      <c r="E156" s="263"/>
      <c r="F156" s="263"/>
      <c r="G156" s="263"/>
      <c r="H156" s="326" t="s">
        <v>860</v>
      </c>
      <c r="I156" s="381"/>
      <c r="J156" s="381"/>
      <c r="K156" s="263"/>
      <c r="L156" s="263">
        <f t="shared" si="32"/>
        <v>0</v>
      </c>
      <c r="M156" s="263"/>
      <c r="N156" s="263">
        <f t="shared" si="31"/>
        <v>0</v>
      </c>
      <c r="O156" s="263"/>
      <c r="P156" s="262"/>
      <c r="Q156" s="296"/>
      <c r="R156" s="296"/>
      <c r="S156" s="296"/>
      <c r="T156" s="296"/>
      <c r="U156" s="296"/>
      <c r="V156" s="296"/>
      <c r="W156" s="296"/>
    </row>
    <row r="157" spans="1:23" s="253" customFormat="1" ht="42" hidden="1" x14ac:dyDescent="0.35">
      <c r="A157" s="259"/>
      <c r="B157" s="260"/>
      <c r="C157" s="260"/>
      <c r="D157" s="447" t="s">
        <v>515</v>
      </c>
      <c r="E157" s="263"/>
      <c r="F157" s="263"/>
      <c r="G157" s="263"/>
      <c r="H157" s="326" t="s">
        <v>860</v>
      </c>
      <c r="I157" s="381"/>
      <c r="J157" s="381"/>
      <c r="K157" s="263"/>
      <c r="L157" s="263">
        <f t="shared" si="32"/>
        <v>0</v>
      </c>
      <c r="M157" s="263"/>
      <c r="N157" s="263">
        <f t="shared" si="31"/>
        <v>0</v>
      </c>
      <c r="O157" s="263"/>
      <c r="P157" s="262"/>
      <c r="Q157" s="296"/>
      <c r="R157" s="296"/>
      <c r="S157" s="296"/>
      <c r="T157" s="296"/>
      <c r="U157" s="296"/>
      <c r="V157" s="296"/>
      <c r="W157" s="296"/>
    </row>
    <row r="158" spans="1:23" s="253" customFormat="1" ht="42" hidden="1" customHeight="1" x14ac:dyDescent="0.35">
      <c r="A158" s="259"/>
      <c r="B158" s="260"/>
      <c r="C158" s="260"/>
      <c r="D158" s="447" t="s">
        <v>513</v>
      </c>
      <c r="E158" s="263"/>
      <c r="F158" s="263"/>
      <c r="G158" s="263"/>
      <c r="H158" s="326" t="s">
        <v>860</v>
      </c>
      <c r="I158" s="381"/>
      <c r="J158" s="381"/>
      <c r="K158" s="263"/>
      <c r="L158" s="263">
        <f t="shared" si="32"/>
        <v>0</v>
      </c>
      <c r="M158" s="263"/>
      <c r="N158" s="263">
        <f t="shared" si="31"/>
        <v>0</v>
      </c>
      <c r="O158" s="263"/>
      <c r="P158" s="262"/>
      <c r="Q158" s="296"/>
      <c r="R158" s="296"/>
      <c r="S158" s="296"/>
      <c r="T158" s="296"/>
      <c r="U158" s="296"/>
      <c r="V158" s="296"/>
      <c r="W158" s="296"/>
    </row>
    <row r="159" spans="1:23" s="253" customFormat="1" ht="42" hidden="1" x14ac:dyDescent="0.35">
      <c r="A159" s="259"/>
      <c r="B159" s="260"/>
      <c r="C159" s="260"/>
      <c r="D159" s="447" t="s">
        <v>514</v>
      </c>
      <c r="E159" s="249"/>
      <c r="F159" s="249"/>
      <c r="G159" s="249"/>
      <c r="H159" s="326" t="s">
        <v>860</v>
      </c>
      <c r="I159" s="370"/>
      <c r="J159" s="370"/>
      <c r="K159" s="249"/>
      <c r="L159" s="263">
        <f t="shared" si="32"/>
        <v>0</v>
      </c>
      <c r="M159" s="249"/>
      <c r="N159" s="263">
        <f t="shared" si="31"/>
        <v>0</v>
      </c>
      <c r="O159" s="249"/>
      <c r="P159" s="265"/>
      <c r="Q159" s="296"/>
      <c r="R159" s="296"/>
      <c r="S159" s="296"/>
      <c r="T159" s="296"/>
      <c r="U159" s="296"/>
      <c r="V159" s="296"/>
      <c r="W159" s="296"/>
    </row>
    <row r="160" spans="1:23" s="253" customFormat="1" ht="42" hidden="1" x14ac:dyDescent="0.35">
      <c r="A160" s="259"/>
      <c r="B160" s="260"/>
      <c r="C160" s="260"/>
      <c r="D160" s="447" t="s">
        <v>468</v>
      </c>
      <c r="E160" s="263"/>
      <c r="F160" s="263"/>
      <c r="G160" s="263"/>
      <c r="H160" s="326" t="s">
        <v>860</v>
      </c>
      <c r="I160" s="381"/>
      <c r="J160" s="381"/>
      <c r="K160" s="263"/>
      <c r="L160" s="263">
        <f t="shared" si="32"/>
        <v>0</v>
      </c>
      <c r="M160" s="263"/>
      <c r="N160" s="263">
        <f t="shared" si="31"/>
        <v>0</v>
      </c>
      <c r="O160" s="263"/>
      <c r="P160" s="262"/>
      <c r="Q160" s="296"/>
      <c r="R160" s="296"/>
      <c r="S160" s="296"/>
      <c r="T160" s="296"/>
      <c r="U160" s="296"/>
      <c r="V160" s="296"/>
      <c r="W160" s="296"/>
    </row>
    <row r="161" spans="1:23" s="253" customFormat="1" ht="42" hidden="1" x14ac:dyDescent="0.35">
      <c r="A161" s="259"/>
      <c r="B161" s="260"/>
      <c r="C161" s="260"/>
      <c r="D161" s="447" t="s">
        <v>469</v>
      </c>
      <c r="E161" s="263"/>
      <c r="F161" s="263"/>
      <c r="G161" s="263"/>
      <c r="H161" s="326" t="s">
        <v>860</v>
      </c>
      <c r="I161" s="381"/>
      <c r="J161" s="381"/>
      <c r="K161" s="263"/>
      <c r="L161" s="263">
        <f t="shared" si="32"/>
        <v>0</v>
      </c>
      <c r="M161" s="263"/>
      <c r="N161" s="263">
        <f t="shared" si="31"/>
        <v>0</v>
      </c>
      <c r="O161" s="263"/>
      <c r="P161" s="262"/>
      <c r="Q161" s="296"/>
      <c r="R161" s="296"/>
      <c r="S161" s="296"/>
      <c r="T161" s="296"/>
      <c r="U161" s="296"/>
      <c r="V161" s="296"/>
      <c r="W161" s="296"/>
    </row>
    <row r="162" spans="1:23" s="253" customFormat="1" ht="42" hidden="1" x14ac:dyDescent="0.35">
      <c r="A162" s="259"/>
      <c r="B162" s="260"/>
      <c r="C162" s="260"/>
      <c r="D162" s="447" t="s">
        <v>470</v>
      </c>
      <c r="E162" s="263"/>
      <c r="F162" s="263"/>
      <c r="G162" s="263"/>
      <c r="H162" s="326" t="s">
        <v>860</v>
      </c>
      <c r="I162" s="381"/>
      <c r="J162" s="381"/>
      <c r="K162" s="263"/>
      <c r="L162" s="263">
        <f t="shared" si="32"/>
        <v>0</v>
      </c>
      <c r="M162" s="263"/>
      <c r="N162" s="263">
        <f t="shared" si="31"/>
        <v>0</v>
      </c>
      <c r="O162" s="263"/>
      <c r="P162" s="262"/>
      <c r="Q162" s="296"/>
      <c r="R162" s="296"/>
      <c r="S162" s="296"/>
      <c r="T162" s="296"/>
      <c r="U162" s="296"/>
      <c r="V162" s="296"/>
      <c r="W162" s="296"/>
    </row>
    <row r="163" spans="1:23" s="253" customFormat="1" ht="44.25" customHeight="1" x14ac:dyDescent="0.35">
      <c r="A163" s="259"/>
      <c r="B163" s="260"/>
      <c r="C163" s="834" t="s">
        <v>517</v>
      </c>
      <c r="D163" s="835"/>
      <c r="E163" s="269">
        <v>8000000</v>
      </c>
      <c r="F163" s="269"/>
      <c r="G163" s="269">
        <v>8000000</v>
      </c>
      <c r="H163" s="326" t="s">
        <v>860</v>
      </c>
      <c r="I163" s="404" t="s">
        <v>709</v>
      </c>
      <c r="J163" s="343" t="s">
        <v>710</v>
      </c>
      <c r="K163" s="269">
        <v>7980000</v>
      </c>
      <c r="L163" s="263">
        <f t="shared" si="32"/>
        <v>20000</v>
      </c>
      <c r="M163" s="269">
        <v>0</v>
      </c>
      <c r="N163" s="263">
        <f t="shared" si="31"/>
        <v>8000000</v>
      </c>
      <c r="O163" s="269"/>
      <c r="P163" s="262" t="s">
        <v>471</v>
      </c>
      <c r="Q163" s="296"/>
      <c r="R163" s="296"/>
      <c r="S163" s="296"/>
      <c r="T163" s="296"/>
      <c r="U163" s="296"/>
      <c r="V163" s="296"/>
      <c r="W163" s="296"/>
    </row>
    <row r="164" spans="1:23" s="253" customFormat="1" ht="42.75" customHeight="1" x14ac:dyDescent="0.35">
      <c r="A164" s="251"/>
      <c r="B164" s="252"/>
      <c r="C164" s="838" t="s">
        <v>472</v>
      </c>
      <c r="D164" s="839"/>
      <c r="E164" s="286">
        <v>15882000</v>
      </c>
      <c r="F164" s="286"/>
      <c r="G164" s="286">
        <v>15882000</v>
      </c>
      <c r="H164" s="326" t="s">
        <v>860</v>
      </c>
      <c r="I164" s="322" t="s">
        <v>678</v>
      </c>
      <c r="J164" s="343" t="s">
        <v>720</v>
      </c>
      <c r="K164" s="286">
        <v>15580000</v>
      </c>
      <c r="L164" s="263">
        <f t="shared" si="32"/>
        <v>302000</v>
      </c>
      <c r="M164" s="286">
        <v>0</v>
      </c>
      <c r="N164" s="263">
        <f t="shared" si="31"/>
        <v>15882000</v>
      </c>
      <c r="O164" s="286"/>
      <c r="P164" s="262" t="s">
        <v>5</v>
      </c>
      <c r="Q164" s="296"/>
      <c r="R164" s="296"/>
      <c r="S164" s="296"/>
      <c r="T164" s="296"/>
      <c r="U164" s="296"/>
      <c r="V164" s="296"/>
      <c r="W164" s="296"/>
    </row>
    <row r="165" spans="1:23" s="253" customFormat="1" ht="45.75" customHeight="1" x14ac:dyDescent="0.35">
      <c r="A165" s="259"/>
      <c r="B165" s="260"/>
      <c r="C165" s="834" t="s">
        <v>516</v>
      </c>
      <c r="D165" s="835"/>
      <c r="E165" s="286">
        <v>4500000</v>
      </c>
      <c r="F165" s="286"/>
      <c r="G165" s="286">
        <v>4500000</v>
      </c>
      <c r="H165" s="326" t="s">
        <v>860</v>
      </c>
      <c r="I165" s="322" t="s">
        <v>715</v>
      </c>
      <c r="J165" s="343" t="s">
        <v>714</v>
      </c>
      <c r="K165" s="286">
        <v>4098000</v>
      </c>
      <c r="L165" s="263">
        <f t="shared" si="32"/>
        <v>402000</v>
      </c>
      <c r="M165" s="286">
        <v>0</v>
      </c>
      <c r="N165" s="263">
        <f t="shared" si="31"/>
        <v>4500000</v>
      </c>
      <c r="O165" s="286"/>
      <c r="P165" s="262" t="s">
        <v>5</v>
      </c>
      <c r="Q165" s="296"/>
      <c r="R165" s="296"/>
      <c r="S165" s="296"/>
      <c r="T165" s="296"/>
      <c r="U165" s="296"/>
      <c r="V165" s="296"/>
      <c r="W165" s="296"/>
    </row>
    <row r="166" spans="1:23" s="253" customFormat="1" ht="42" customHeight="1" x14ac:dyDescent="0.35">
      <c r="A166" s="259"/>
      <c r="B166" s="260"/>
      <c r="C166" s="834" t="s">
        <v>518</v>
      </c>
      <c r="D166" s="835"/>
      <c r="E166" s="286">
        <v>3592000</v>
      </c>
      <c r="F166" s="286"/>
      <c r="G166" s="286">
        <v>3592000</v>
      </c>
      <c r="H166" s="326" t="s">
        <v>860</v>
      </c>
      <c r="I166" s="322" t="s">
        <v>716</v>
      </c>
      <c r="J166" s="343" t="s">
        <v>725</v>
      </c>
      <c r="K166" s="286">
        <v>3587000</v>
      </c>
      <c r="L166" s="263">
        <f t="shared" si="32"/>
        <v>5000</v>
      </c>
      <c r="M166" s="286">
        <v>0</v>
      </c>
      <c r="N166" s="263">
        <f t="shared" si="31"/>
        <v>3592000</v>
      </c>
      <c r="O166" s="286"/>
      <c r="P166" s="262" t="s">
        <v>9</v>
      </c>
      <c r="Q166" s="296"/>
      <c r="R166" s="296"/>
      <c r="S166" s="296"/>
      <c r="T166" s="296"/>
      <c r="U166" s="296"/>
      <c r="V166" s="296"/>
      <c r="W166" s="296"/>
    </row>
    <row r="167" spans="1:23" s="253" customFormat="1" ht="43.5" customHeight="1" x14ac:dyDescent="0.35">
      <c r="A167" s="251"/>
      <c r="B167" s="252"/>
      <c r="C167" s="838" t="s">
        <v>473</v>
      </c>
      <c r="D167" s="839"/>
      <c r="E167" s="286">
        <v>5832000</v>
      </c>
      <c r="F167" s="286"/>
      <c r="G167" s="286">
        <v>5832000</v>
      </c>
      <c r="H167" s="326" t="s">
        <v>860</v>
      </c>
      <c r="I167" s="322" t="s">
        <v>726</v>
      </c>
      <c r="J167" s="343" t="s">
        <v>725</v>
      </c>
      <c r="K167" s="286">
        <v>5664500</v>
      </c>
      <c r="L167" s="263">
        <f t="shared" si="32"/>
        <v>167500</v>
      </c>
      <c r="M167" s="286">
        <v>0</v>
      </c>
      <c r="N167" s="263">
        <f t="shared" si="31"/>
        <v>5832000</v>
      </c>
      <c r="O167" s="286"/>
      <c r="P167" s="262" t="s">
        <v>9</v>
      </c>
      <c r="Q167" s="296"/>
      <c r="R167" s="296"/>
      <c r="S167" s="296"/>
      <c r="T167" s="296"/>
      <c r="U167" s="296"/>
      <c r="V167" s="296"/>
      <c r="W167" s="296"/>
    </row>
    <row r="168" spans="1:23" s="253" customFormat="1" ht="65.25" customHeight="1" x14ac:dyDescent="0.35">
      <c r="A168" s="251"/>
      <c r="B168" s="252"/>
      <c r="C168" s="838" t="s">
        <v>519</v>
      </c>
      <c r="D168" s="839"/>
      <c r="E168" s="286">
        <v>6282000</v>
      </c>
      <c r="F168" s="286"/>
      <c r="G168" s="286">
        <v>6282000</v>
      </c>
      <c r="H168" s="326" t="s">
        <v>860</v>
      </c>
      <c r="I168" s="322" t="s">
        <v>265</v>
      </c>
      <c r="J168" s="343" t="s">
        <v>705</v>
      </c>
      <c r="K168" s="286">
        <v>4880000</v>
      </c>
      <c r="L168" s="263">
        <f t="shared" si="32"/>
        <v>1402000</v>
      </c>
      <c r="M168" s="286">
        <v>0</v>
      </c>
      <c r="N168" s="263">
        <f t="shared" si="31"/>
        <v>6282000</v>
      </c>
      <c r="O168" s="286"/>
      <c r="P168" s="262" t="s">
        <v>4</v>
      </c>
      <c r="Q168" s="296"/>
      <c r="R168" s="296"/>
      <c r="S168" s="296"/>
      <c r="T168" s="296"/>
      <c r="U168" s="296"/>
      <c r="V168" s="296"/>
      <c r="W168" s="296"/>
    </row>
    <row r="169" spans="1:23" s="253" customFormat="1" ht="66" customHeight="1" x14ac:dyDescent="0.35">
      <c r="A169" s="251"/>
      <c r="B169" s="252"/>
      <c r="C169" s="838" t="s">
        <v>520</v>
      </c>
      <c r="D169" s="839"/>
      <c r="E169" s="286">
        <v>1999600</v>
      </c>
      <c r="F169" s="286"/>
      <c r="G169" s="286">
        <v>1999600</v>
      </c>
      <c r="H169" s="326" t="s">
        <v>860</v>
      </c>
      <c r="I169" s="322"/>
      <c r="J169" s="343" t="s">
        <v>631</v>
      </c>
      <c r="K169" s="286">
        <v>1994500</v>
      </c>
      <c r="L169" s="263">
        <f t="shared" si="32"/>
        <v>5100</v>
      </c>
      <c r="M169" s="286">
        <v>0</v>
      </c>
      <c r="N169" s="263">
        <f t="shared" si="31"/>
        <v>1999600</v>
      </c>
      <c r="O169" s="286"/>
      <c r="P169" s="262" t="s">
        <v>4</v>
      </c>
      <c r="Q169" s="296"/>
      <c r="R169" s="296"/>
      <c r="S169" s="296"/>
      <c r="T169" s="296"/>
      <c r="U169" s="296"/>
      <c r="V169" s="296"/>
      <c r="W169" s="296"/>
    </row>
    <row r="170" spans="1:23" s="253" customFormat="1" ht="37.5" x14ac:dyDescent="0.35">
      <c r="A170" s="259"/>
      <c r="B170" s="260"/>
      <c r="C170" s="834" t="s">
        <v>474</v>
      </c>
      <c r="D170" s="835"/>
      <c r="E170" s="286">
        <v>1518000</v>
      </c>
      <c r="F170" s="286"/>
      <c r="G170" s="286">
        <v>1518000</v>
      </c>
      <c r="H170" s="326" t="s">
        <v>353</v>
      </c>
      <c r="I170" s="322" t="s">
        <v>694</v>
      </c>
      <c r="J170" s="343" t="s">
        <v>632</v>
      </c>
      <c r="K170" s="286">
        <v>1513000</v>
      </c>
      <c r="L170" s="263">
        <f t="shared" si="32"/>
        <v>5000</v>
      </c>
      <c r="M170" s="286">
        <v>1513000</v>
      </c>
      <c r="N170" s="263">
        <f t="shared" si="31"/>
        <v>5000</v>
      </c>
      <c r="O170" s="286">
        <f>M170*100/K170</f>
        <v>100</v>
      </c>
      <c r="P170" s="262" t="s">
        <v>4</v>
      </c>
      <c r="Q170" s="296"/>
      <c r="R170" s="296"/>
      <c r="S170" s="296"/>
      <c r="T170" s="296"/>
      <c r="U170" s="296"/>
      <c r="V170" s="296"/>
      <c r="W170" s="296"/>
    </row>
    <row r="171" spans="1:23" s="253" customFormat="1" ht="45" customHeight="1" x14ac:dyDescent="0.35">
      <c r="A171" s="259"/>
      <c r="B171" s="260"/>
      <c r="C171" s="834" t="s">
        <v>475</v>
      </c>
      <c r="D171" s="835"/>
      <c r="E171" s="286">
        <v>4300000</v>
      </c>
      <c r="F171" s="286"/>
      <c r="G171" s="286">
        <v>4300000</v>
      </c>
      <c r="H171" s="326" t="s">
        <v>860</v>
      </c>
      <c r="I171" s="322" t="s">
        <v>678</v>
      </c>
      <c r="J171" s="343" t="s">
        <v>722</v>
      </c>
      <c r="K171" s="286">
        <v>4270000</v>
      </c>
      <c r="L171" s="263">
        <f t="shared" si="32"/>
        <v>30000</v>
      </c>
      <c r="M171" s="286"/>
      <c r="N171" s="263">
        <f t="shared" si="31"/>
        <v>4300000</v>
      </c>
      <c r="O171" s="286"/>
      <c r="P171" s="262" t="s">
        <v>5</v>
      </c>
      <c r="Q171" s="296"/>
      <c r="R171" s="296"/>
      <c r="S171" s="296"/>
      <c r="T171" s="296"/>
      <c r="U171" s="296"/>
      <c r="V171" s="296"/>
      <c r="W171" s="296"/>
    </row>
    <row r="172" spans="1:23" s="182" customFormat="1" ht="21" x14ac:dyDescent="0.35">
      <c r="A172" s="185"/>
      <c r="B172" s="836" t="s">
        <v>476</v>
      </c>
      <c r="C172" s="836"/>
      <c r="D172" s="837"/>
      <c r="E172" s="186">
        <f>E173</f>
        <v>10000000</v>
      </c>
      <c r="F172" s="186">
        <f t="shared" ref="F172:G172" si="33">F173</f>
        <v>10000000</v>
      </c>
      <c r="G172" s="186">
        <f t="shared" si="33"/>
        <v>0</v>
      </c>
      <c r="H172" s="455"/>
      <c r="I172" s="377"/>
      <c r="J172" s="377"/>
      <c r="K172" s="186">
        <f t="shared" ref="K172:L172" si="34">K173</f>
        <v>0</v>
      </c>
      <c r="L172" s="186">
        <f t="shared" si="34"/>
        <v>0</v>
      </c>
      <c r="M172" s="186">
        <f>M173</f>
        <v>0</v>
      </c>
      <c r="N172" s="186">
        <f>N173</f>
        <v>10000000</v>
      </c>
      <c r="O172" s="186">
        <f>M172*100/F172</f>
        <v>0</v>
      </c>
      <c r="P172" s="210"/>
      <c r="Q172" s="334"/>
      <c r="R172" s="334"/>
      <c r="S172" s="334"/>
      <c r="T172" s="334"/>
      <c r="U172" s="334"/>
      <c r="V172" s="334"/>
      <c r="W172" s="334"/>
    </row>
    <row r="173" spans="1:23" s="253" customFormat="1" ht="21" x14ac:dyDescent="0.35">
      <c r="A173" s="259"/>
      <c r="B173" s="260"/>
      <c r="C173" s="834" t="s">
        <v>477</v>
      </c>
      <c r="D173" s="835"/>
      <c r="E173" s="263">
        <f>E174</f>
        <v>10000000</v>
      </c>
      <c r="F173" s="263">
        <f>F174</f>
        <v>10000000</v>
      </c>
      <c r="G173" s="263"/>
      <c r="H173" s="326"/>
      <c r="I173" s="381"/>
      <c r="J173" s="381"/>
      <c r="K173" s="263">
        <f>K174</f>
        <v>0</v>
      </c>
      <c r="L173" s="263">
        <f>L174</f>
        <v>0</v>
      </c>
      <c r="M173" s="263">
        <f>M174</f>
        <v>0</v>
      </c>
      <c r="N173" s="263">
        <f>N174</f>
        <v>10000000</v>
      </c>
      <c r="O173" s="263">
        <f>M173*100/F173</f>
        <v>0</v>
      </c>
      <c r="P173" s="282"/>
      <c r="Q173" s="296"/>
      <c r="R173" s="296"/>
      <c r="S173" s="296"/>
      <c r="T173" s="296"/>
      <c r="U173" s="296"/>
      <c r="V173" s="296"/>
      <c r="W173" s="296"/>
    </row>
    <row r="174" spans="1:23" ht="56.25" x14ac:dyDescent="0.35">
      <c r="A174" s="187"/>
      <c r="B174" s="188"/>
      <c r="C174" s="188"/>
      <c r="D174" s="202" t="s">
        <v>478</v>
      </c>
      <c r="E174" s="201">
        <v>10000000</v>
      </c>
      <c r="F174" s="201">
        <v>10000000</v>
      </c>
      <c r="G174" s="201"/>
      <c r="H174" s="321" t="s">
        <v>862</v>
      </c>
      <c r="I174" s="387"/>
      <c r="J174" s="387"/>
      <c r="K174" s="201"/>
      <c r="L174" s="201"/>
      <c r="M174" s="72">
        <v>0</v>
      </c>
      <c r="N174" s="201">
        <f>F174-M174</f>
        <v>10000000</v>
      </c>
      <c r="O174" s="201">
        <f>M174*100/F174</f>
        <v>0</v>
      </c>
      <c r="P174" s="217" t="s">
        <v>460</v>
      </c>
      <c r="Q174" s="296"/>
      <c r="R174" s="296"/>
      <c r="S174" s="296"/>
      <c r="T174" s="296"/>
      <c r="U174" s="296"/>
      <c r="V174" s="296"/>
      <c r="W174" s="296"/>
    </row>
    <row r="175" spans="1:23" s="182" customFormat="1" ht="21" x14ac:dyDescent="0.35">
      <c r="A175" s="185"/>
      <c r="B175" s="836" t="s">
        <v>479</v>
      </c>
      <c r="C175" s="836"/>
      <c r="D175" s="837"/>
      <c r="E175" s="163">
        <f>E176</f>
        <v>230546000</v>
      </c>
      <c r="F175" s="163"/>
      <c r="G175" s="163">
        <f>G176</f>
        <v>230546000</v>
      </c>
      <c r="H175" s="451"/>
      <c r="I175" s="374"/>
      <c r="J175" s="374"/>
      <c r="K175" s="163">
        <f>K176</f>
        <v>182807999</v>
      </c>
      <c r="L175" s="163">
        <f>L176</f>
        <v>4162001</v>
      </c>
      <c r="M175" s="163">
        <f>M176</f>
        <v>24234650</v>
      </c>
      <c r="N175" s="163">
        <f>N176</f>
        <v>206311350</v>
      </c>
      <c r="O175" s="239">
        <f>M175*100/G175</f>
        <v>10.511850129692123</v>
      </c>
      <c r="P175" s="211"/>
      <c r="Q175" s="334"/>
      <c r="R175" s="334"/>
      <c r="S175" s="334"/>
      <c r="T175" s="334"/>
      <c r="U175" s="334"/>
      <c r="V175" s="334"/>
      <c r="W175" s="334"/>
    </row>
    <row r="176" spans="1:23" s="253" customFormat="1" ht="21" x14ac:dyDescent="0.35">
      <c r="A176" s="259"/>
      <c r="B176" s="260"/>
      <c r="C176" s="834" t="s">
        <v>480</v>
      </c>
      <c r="D176" s="835"/>
      <c r="E176" s="263">
        <f>E177+E178+E179+E181+E183+E187+E189+E192+E193</f>
        <v>230546000</v>
      </c>
      <c r="F176" s="263"/>
      <c r="G176" s="263">
        <f>G177+G178+G179+G181+G183+G187+G189+G192+G193</f>
        <v>230546000</v>
      </c>
      <c r="H176" s="326"/>
      <c r="I176" s="381"/>
      <c r="J176" s="381"/>
      <c r="K176" s="263">
        <f>K177+K178+K179+K181+K183+K187+K189+K192+K193</f>
        <v>182807999</v>
      </c>
      <c r="L176" s="263">
        <f>L177+L178+L179+L181+L183+L187+L189+L192+L193</f>
        <v>4162001</v>
      </c>
      <c r="M176" s="263">
        <f>M177+M178+M179+M181+M183+M187+M189+M192+M193</f>
        <v>24234650</v>
      </c>
      <c r="N176" s="263">
        <f>N177+N178+N179+N181+N183+N187+N189+N192+N193</f>
        <v>206311350</v>
      </c>
      <c r="O176" s="264">
        <f>M176*100/G176</f>
        <v>10.511850129692123</v>
      </c>
      <c r="P176" s="282"/>
      <c r="Q176" s="296"/>
      <c r="R176" s="296"/>
      <c r="S176" s="296"/>
      <c r="T176" s="296"/>
      <c r="U176" s="296"/>
      <c r="V176" s="296"/>
      <c r="W176" s="296"/>
    </row>
    <row r="177" spans="1:23" s="296" customFormat="1" ht="44.25" customHeight="1" x14ac:dyDescent="0.35">
      <c r="A177" s="291"/>
      <c r="B177" s="292"/>
      <c r="C177" s="292"/>
      <c r="D177" s="293" t="s">
        <v>481</v>
      </c>
      <c r="E177" s="294">
        <f>G177</f>
        <v>26745000</v>
      </c>
      <c r="F177" s="294"/>
      <c r="G177" s="294">
        <v>26745000</v>
      </c>
      <c r="H177" s="405" t="s">
        <v>860</v>
      </c>
      <c r="I177" s="405" t="s">
        <v>736</v>
      </c>
      <c r="J177" s="344" t="s">
        <v>747</v>
      </c>
      <c r="K177" s="294">
        <v>26690000</v>
      </c>
      <c r="L177" s="294">
        <f>G177-K177</f>
        <v>55000</v>
      </c>
      <c r="M177" s="294">
        <v>0</v>
      </c>
      <c r="N177" s="294">
        <f>G177-M177</f>
        <v>26745000</v>
      </c>
      <c r="O177" s="294">
        <f>M177*100/G177</f>
        <v>0</v>
      </c>
      <c r="P177" s="295" t="s">
        <v>482</v>
      </c>
    </row>
    <row r="178" spans="1:23" s="299" customFormat="1" ht="75" x14ac:dyDescent="0.35">
      <c r="A178" s="297"/>
      <c r="B178" s="298"/>
      <c r="C178" s="298"/>
      <c r="D178" s="293" t="s">
        <v>521</v>
      </c>
      <c r="E178" s="294">
        <f>G178</f>
        <v>1000000</v>
      </c>
      <c r="F178" s="229"/>
      <c r="G178" s="229">
        <v>1000000</v>
      </c>
      <c r="H178" s="461" t="s">
        <v>353</v>
      </c>
      <c r="I178" s="325" t="s">
        <v>698</v>
      </c>
      <c r="J178" s="344" t="s">
        <v>635</v>
      </c>
      <c r="K178" s="229">
        <v>995000</v>
      </c>
      <c r="L178" s="294">
        <f t="shared" ref="L178" si="35">G178-K178</f>
        <v>5000</v>
      </c>
      <c r="M178" s="229">
        <v>995000</v>
      </c>
      <c r="N178" s="229">
        <f>G178-M178</f>
        <v>5000</v>
      </c>
      <c r="O178" s="336">
        <f>M178*100/G178</f>
        <v>99.5</v>
      </c>
      <c r="P178" s="295" t="s">
        <v>407</v>
      </c>
    </row>
    <row r="179" spans="1:23" s="299" customFormat="1" ht="42" x14ac:dyDescent="0.35">
      <c r="A179" s="297"/>
      <c r="B179" s="298"/>
      <c r="C179" s="298"/>
      <c r="D179" s="293" t="s">
        <v>483</v>
      </c>
      <c r="E179" s="229">
        <f>E180</f>
        <v>3900000</v>
      </c>
      <c r="F179" s="229"/>
      <c r="G179" s="229">
        <f>G180</f>
        <v>3900000</v>
      </c>
      <c r="H179" s="461"/>
      <c r="I179" s="388"/>
      <c r="J179" s="388"/>
      <c r="K179" s="229">
        <f>K180</f>
        <v>2541000</v>
      </c>
      <c r="L179" s="294">
        <f>L180</f>
        <v>1359000</v>
      </c>
      <c r="M179" s="229">
        <f>M180</f>
        <v>0</v>
      </c>
      <c r="N179" s="229">
        <f>N180</f>
        <v>3900000</v>
      </c>
      <c r="O179" s="229">
        <f>M179*100/G179</f>
        <v>0</v>
      </c>
      <c r="P179" s="300"/>
    </row>
    <row r="180" spans="1:23" s="175" customFormat="1" ht="42" x14ac:dyDescent="0.35">
      <c r="A180" s="176"/>
      <c r="B180" s="177"/>
      <c r="C180" s="177"/>
      <c r="D180" s="246" t="s">
        <v>522</v>
      </c>
      <c r="E180" s="199">
        <v>3900000</v>
      </c>
      <c r="F180" s="199"/>
      <c r="G180" s="199">
        <v>3900000</v>
      </c>
      <c r="H180" s="325" t="s">
        <v>860</v>
      </c>
      <c r="I180" s="325" t="s">
        <v>695</v>
      </c>
      <c r="J180" s="342" t="s">
        <v>634</v>
      </c>
      <c r="K180" s="199">
        <v>2541000</v>
      </c>
      <c r="L180" s="199">
        <f>G180-K180</f>
        <v>1359000</v>
      </c>
      <c r="M180" s="229">
        <v>0</v>
      </c>
      <c r="N180" s="199">
        <f>G180-M180</f>
        <v>3900000</v>
      </c>
      <c r="O180" s="199">
        <f>M180*100/E180</f>
        <v>0</v>
      </c>
      <c r="P180" s="217" t="s">
        <v>407</v>
      </c>
      <c r="Q180" s="299"/>
      <c r="R180" s="299"/>
      <c r="S180" s="299"/>
      <c r="T180" s="299"/>
      <c r="U180" s="299"/>
      <c r="V180" s="299"/>
      <c r="W180" s="299"/>
    </row>
    <row r="181" spans="1:23" s="296" customFormat="1" ht="42" x14ac:dyDescent="0.35">
      <c r="A181" s="291"/>
      <c r="B181" s="292"/>
      <c r="C181" s="292"/>
      <c r="D181" s="293" t="s">
        <v>506</v>
      </c>
      <c r="E181" s="229">
        <f>E182</f>
        <v>50000000</v>
      </c>
      <c r="F181" s="229"/>
      <c r="G181" s="229">
        <f>G182</f>
        <v>50000000</v>
      </c>
      <c r="H181" s="461"/>
      <c r="I181" s="388"/>
      <c r="J181" s="388"/>
      <c r="K181" s="229">
        <f>K182</f>
        <v>49890000</v>
      </c>
      <c r="L181" s="229">
        <f>L182</f>
        <v>110000</v>
      </c>
      <c r="M181" s="229">
        <f>M182</f>
        <v>7483500</v>
      </c>
      <c r="N181" s="229">
        <f>N182</f>
        <v>42516500</v>
      </c>
      <c r="O181" s="336">
        <f>M181*100/G181</f>
        <v>14.967000000000001</v>
      </c>
      <c r="P181" s="295"/>
    </row>
    <row r="182" spans="1:23" ht="42" x14ac:dyDescent="0.35">
      <c r="A182" s="187"/>
      <c r="B182" s="188"/>
      <c r="C182" s="188"/>
      <c r="D182" s="202" t="s">
        <v>484</v>
      </c>
      <c r="E182" s="199">
        <v>50000000</v>
      </c>
      <c r="F182" s="199"/>
      <c r="G182" s="199">
        <v>50000000</v>
      </c>
      <c r="H182" s="325" t="s">
        <v>860</v>
      </c>
      <c r="I182" s="325" t="s">
        <v>699</v>
      </c>
      <c r="J182" s="342" t="s">
        <v>727</v>
      </c>
      <c r="K182" s="199">
        <v>49890000</v>
      </c>
      <c r="L182" s="199">
        <f>G182-K182</f>
        <v>110000</v>
      </c>
      <c r="M182" s="229">
        <v>7483500</v>
      </c>
      <c r="N182" s="199">
        <f>G182-M182</f>
        <v>42516500</v>
      </c>
      <c r="O182" s="335">
        <f>M182*100/G182</f>
        <v>14.967000000000001</v>
      </c>
      <c r="P182" s="217" t="s">
        <v>471</v>
      </c>
      <c r="Q182" s="296"/>
      <c r="R182" s="296"/>
      <c r="S182" s="296"/>
      <c r="T182" s="296"/>
      <c r="U182" s="296"/>
      <c r="V182" s="296"/>
      <c r="W182" s="296"/>
    </row>
    <row r="183" spans="1:23" s="303" customFormat="1" ht="42" x14ac:dyDescent="0.35">
      <c r="A183" s="301"/>
      <c r="B183" s="302"/>
      <c r="C183" s="302"/>
      <c r="D183" s="293" t="s">
        <v>485</v>
      </c>
      <c r="E183" s="67">
        <f>E184+E185+E186</f>
        <v>62101000</v>
      </c>
      <c r="F183" s="67"/>
      <c r="G183" s="67">
        <f>G184+G185+G186</f>
        <v>62101000</v>
      </c>
      <c r="H183" s="114"/>
      <c r="I183" s="389"/>
      <c r="J183" s="389"/>
      <c r="K183" s="67">
        <f>K184+K185+K186</f>
        <v>50765000</v>
      </c>
      <c r="L183" s="67">
        <f>L184+L185+L186</f>
        <v>155000</v>
      </c>
      <c r="M183" s="67">
        <f>M184+M185+M186</f>
        <v>8392500</v>
      </c>
      <c r="N183" s="67">
        <f>N184+N185+N186</f>
        <v>53708500</v>
      </c>
      <c r="O183" s="69">
        <f t="shared" ref="O183:O189" si="36">M183*100/E183</f>
        <v>13.514275132445531</v>
      </c>
      <c r="P183" s="295"/>
    </row>
    <row r="184" spans="1:23" s="175" customFormat="1" ht="42" x14ac:dyDescent="0.35">
      <c r="A184" s="176"/>
      <c r="B184" s="177"/>
      <c r="C184" s="177"/>
      <c r="D184" s="246" t="s">
        <v>633</v>
      </c>
      <c r="E184" s="199">
        <v>50000000</v>
      </c>
      <c r="F184" s="199"/>
      <c r="G184" s="199">
        <v>50000000</v>
      </c>
      <c r="H184" s="325" t="s">
        <v>860</v>
      </c>
      <c r="I184" s="321" t="s">
        <v>699</v>
      </c>
      <c r="J184" s="342" t="s">
        <v>627</v>
      </c>
      <c r="K184" s="199">
        <v>49850000</v>
      </c>
      <c r="L184" s="199">
        <f>G184-K184</f>
        <v>150000</v>
      </c>
      <c r="M184" s="229">
        <v>7477500</v>
      </c>
      <c r="N184" s="199">
        <f>E184-M184</f>
        <v>42522500</v>
      </c>
      <c r="O184" s="335">
        <f t="shared" si="36"/>
        <v>14.955</v>
      </c>
      <c r="P184" s="217" t="s">
        <v>407</v>
      </c>
      <c r="Q184" s="299"/>
      <c r="R184" s="299"/>
      <c r="S184" s="299"/>
      <c r="T184" s="299"/>
      <c r="U184" s="299"/>
      <c r="V184" s="299"/>
      <c r="W184" s="299"/>
    </row>
    <row r="185" spans="1:23" s="175" customFormat="1" ht="75" x14ac:dyDescent="0.35">
      <c r="A185" s="203"/>
      <c r="B185" s="204"/>
      <c r="C185" s="204"/>
      <c r="D185" s="205" t="s">
        <v>539</v>
      </c>
      <c r="E185" s="199">
        <v>920000</v>
      </c>
      <c r="F185" s="199"/>
      <c r="G185" s="199">
        <v>920000</v>
      </c>
      <c r="H185" s="325" t="s">
        <v>353</v>
      </c>
      <c r="I185" s="325" t="s">
        <v>698</v>
      </c>
      <c r="J185" s="342" t="s">
        <v>635</v>
      </c>
      <c r="K185" s="199">
        <v>915000</v>
      </c>
      <c r="L185" s="199">
        <f t="shared" ref="L185" si="37">G185-K185</f>
        <v>5000</v>
      </c>
      <c r="M185" s="229">
        <v>915000</v>
      </c>
      <c r="N185" s="199">
        <f>E185-M185</f>
        <v>5000</v>
      </c>
      <c r="O185" s="199">
        <v>100</v>
      </c>
      <c r="P185" s="217" t="s">
        <v>407</v>
      </c>
      <c r="Q185" s="299"/>
      <c r="R185" s="299"/>
      <c r="S185" s="299"/>
      <c r="T185" s="299"/>
      <c r="U185" s="299"/>
      <c r="V185" s="299"/>
      <c r="W185" s="299"/>
    </row>
    <row r="186" spans="1:23" ht="59.25" customHeight="1" x14ac:dyDescent="0.35">
      <c r="A186" s="166"/>
      <c r="B186" s="167"/>
      <c r="C186" s="167"/>
      <c r="D186" s="246" t="s">
        <v>486</v>
      </c>
      <c r="E186" s="199">
        <v>11181000</v>
      </c>
      <c r="F186" s="199"/>
      <c r="G186" s="199">
        <v>11181000</v>
      </c>
      <c r="H186" s="325" t="s">
        <v>865</v>
      </c>
      <c r="I186" s="386"/>
      <c r="J186" s="386"/>
      <c r="K186" s="199"/>
      <c r="L186" s="199">
        <v>0</v>
      </c>
      <c r="M186" s="229">
        <v>0</v>
      </c>
      <c r="N186" s="199">
        <f>E186-M186</f>
        <v>11181000</v>
      </c>
      <c r="O186" s="199">
        <f t="shared" si="36"/>
        <v>0</v>
      </c>
      <c r="P186" s="217" t="s">
        <v>36</v>
      </c>
      <c r="Q186" s="296"/>
      <c r="R186" s="296"/>
      <c r="S186" s="296"/>
      <c r="T186" s="296"/>
      <c r="U186" s="296"/>
      <c r="V186" s="296"/>
      <c r="W186" s="296"/>
    </row>
    <row r="187" spans="1:23" s="296" customFormat="1" ht="42" x14ac:dyDescent="0.35">
      <c r="A187" s="291"/>
      <c r="B187" s="292"/>
      <c r="C187" s="292"/>
      <c r="D187" s="293" t="s">
        <v>523</v>
      </c>
      <c r="E187" s="229">
        <f>E188</f>
        <v>2000000</v>
      </c>
      <c r="F187" s="229"/>
      <c r="G187" s="229">
        <f>G188</f>
        <v>2000000</v>
      </c>
      <c r="H187" s="461"/>
      <c r="I187" s="388"/>
      <c r="J187" s="388"/>
      <c r="K187" s="229">
        <f>K188</f>
        <v>1835999</v>
      </c>
      <c r="L187" s="229">
        <f>L188</f>
        <v>164001</v>
      </c>
      <c r="M187" s="229">
        <f>M188</f>
        <v>0</v>
      </c>
      <c r="N187" s="229">
        <f>N188</f>
        <v>2000000</v>
      </c>
      <c r="O187" s="229">
        <f t="shared" si="36"/>
        <v>0</v>
      </c>
      <c r="P187" s="295"/>
    </row>
    <row r="188" spans="1:23" s="296" customFormat="1" ht="44.25" customHeight="1" x14ac:dyDescent="0.35">
      <c r="A188" s="291"/>
      <c r="B188" s="292"/>
      <c r="C188" s="292"/>
      <c r="D188" s="293" t="s">
        <v>487</v>
      </c>
      <c r="E188" s="229">
        <v>2000000</v>
      </c>
      <c r="F188" s="229"/>
      <c r="G188" s="229">
        <v>2000000</v>
      </c>
      <c r="H188" s="461" t="s">
        <v>860</v>
      </c>
      <c r="I188" s="461" t="s">
        <v>195</v>
      </c>
      <c r="J188" s="342" t="s">
        <v>872</v>
      </c>
      <c r="K188" s="229">
        <v>1835999</v>
      </c>
      <c r="L188" s="229">
        <f>G188-K188</f>
        <v>164001</v>
      </c>
      <c r="M188" s="229">
        <v>0</v>
      </c>
      <c r="N188" s="229">
        <f>E188-M188</f>
        <v>2000000</v>
      </c>
      <c r="O188" s="229">
        <f>M188*100/E188</f>
        <v>0</v>
      </c>
      <c r="P188" s="295" t="s">
        <v>488</v>
      </c>
    </row>
    <row r="189" spans="1:23" s="296" customFormat="1" ht="42" x14ac:dyDescent="0.35">
      <c r="A189" s="291"/>
      <c r="B189" s="292"/>
      <c r="C189" s="292"/>
      <c r="D189" s="293" t="s">
        <v>524</v>
      </c>
      <c r="E189" s="304">
        <f>E190+E191</f>
        <v>53000000</v>
      </c>
      <c r="F189" s="304"/>
      <c r="G189" s="304">
        <f>G190+G191</f>
        <v>53000000</v>
      </c>
      <c r="H189" s="114"/>
      <c r="I189" s="390"/>
      <c r="J189" s="390"/>
      <c r="K189" s="304">
        <f>K190+K191</f>
        <v>49091000</v>
      </c>
      <c r="L189" s="317">
        <f>L190+L191</f>
        <v>309000</v>
      </c>
      <c r="M189" s="229">
        <f t="shared" ref="M189:M204" si="38">M190</f>
        <v>7363650</v>
      </c>
      <c r="N189" s="304">
        <f>N190+N191</f>
        <v>45636350</v>
      </c>
      <c r="O189" s="412">
        <f t="shared" si="36"/>
        <v>13.893679245283019</v>
      </c>
      <c r="P189" s="300"/>
    </row>
    <row r="190" spans="1:23" ht="43.5" customHeight="1" x14ac:dyDescent="0.35">
      <c r="A190" s="187"/>
      <c r="B190" s="188"/>
      <c r="C190" s="188"/>
      <c r="D190" s="202" t="s">
        <v>489</v>
      </c>
      <c r="E190" s="199">
        <v>49400000</v>
      </c>
      <c r="F190" s="199"/>
      <c r="G190" s="199">
        <v>49400000</v>
      </c>
      <c r="H190" s="325" t="s">
        <v>860</v>
      </c>
      <c r="I190" s="325" t="s">
        <v>699</v>
      </c>
      <c r="J190" s="342" t="s">
        <v>873</v>
      </c>
      <c r="K190" s="199">
        <v>49091000</v>
      </c>
      <c r="L190" s="199">
        <f>G190-K190</f>
        <v>309000</v>
      </c>
      <c r="M190" s="229">
        <v>7363650</v>
      </c>
      <c r="N190" s="199">
        <f>E190-M190</f>
        <v>42036350</v>
      </c>
      <c r="O190" s="335">
        <f>M190*100/G190</f>
        <v>14.906174089068825</v>
      </c>
      <c r="P190" s="217" t="s">
        <v>482</v>
      </c>
      <c r="Q190" s="296"/>
      <c r="R190" s="296"/>
      <c r="S190" s="296"/>
      <c r="T190" s="296"/>
      <c r="U190" s="296"/>
      <c r="V190" s="296"/>
      <c r="W190" s="296"/>
    </row>
    <row r="191" spans="1:23" ht="41.25" customHeight="1" x14ac:dyDescent="0.35">
      <c r="A191" s="187"/>
      <c r="B191" s="188"/>
      <c r="C191" s="188"/>
      <c r="D191" s="202" t="s">
        <v>558</v>
      </c>
      <c r="E191" s="199">
        <v>3600000</v>
      </c>
      <c r="F191" s="199"/>
      <c r="G191" s="199">
        <v>3600000</v>
      </c>
      <c r="H191" s="462" t="s">
        <v>637</v>
      </c>
      <c r="I191" s="386"/>
      <c r="J191" s="386"/>
      <c r="K191" s="199"/>
      <c r="L191" s="199">
        <v>0</v>
      </c>
      <c r="M191" s="229">
        <f t="shared" si="38"/>
        <v>0</v>
      </c>
      <c r="N191" s="199">
        <f>E191-M191</f>
        <v>3600000</v>
      </c>
      <c r="O191" s="199">
        <f>M191*100/G191</f>
        <v>0</v>
      </c>
      <c r="P191" s="217"/>
      <c r="Q191" s="296"/>
      <c r="R191" s="296"/>
      <c r="S191" s="296"/>
      <c r="T191" s="296"/>
      <c r="U191" s="296"/>
      <c r="V191" s="296"/>
      <c r="W191" s="296"/>
    </row>
    <row r="192" spans="1:23" s="296" customFormat="1" ht="63" x14ac:dyDescent="0.35">
      <c r="A192" s="305"/>
      <c r="B192" s="306"/>
      <c r="C192" s="306"/>
      <c r="D192" s="307" t="s">
        <v>540</v>
      </c>
      <c r="E192" s="229">
        <v>3005000</v>
      </c>
      <c r="F192" s="229"/>
      <c r="G192" s="229">
        <v>3005000</v>
      </c>
      <c r="H192" s="461" t="s">
        <v>860</v>
      </c>
      <c r="I192" s="461" t="s">
        <v>874</v>
      </c>
      <c r="J192" s="342" t="s">
        <v>750</v>
      </c>
      <c r="K192" s="229">
        <v>1000000</v>
      </c>
      <c r="L192" s="229">
        <v>2005000</v>
      </c>
      <c r="M192" s="229">
        <f t="shared" si="38"/>
        <v>0</v>
      </c>
      <c r="N192" s="229">
        <f>E192-M192</f>
        <v>3005000</v>
      </c>
      <c r="O192" s="229">
        <f>M192*100/E192</f>
        <v>0</v>
      </c>
      <c r="P192" s="295" t="s">
        <v>444</v>
      </c>
    </row>
    <row r="193" spans="1:23" s="296" customFormat="1" ht="63" x14ac:dyDescent="0.35">
      <c r="A193" s="291"/>
      <c r="B193" s="292"/>
      <c r="C193" s="292"/>
      <c r="D193" s="293" t="s">
        <v>525</v>
      </c>
      <c r="E193" s="72">
        <f>E194+E195</f>
        <v>28795000</v>
      </c>
      <c r="F193" s="72"/>
      <c r="G193" s="72">
        <f>G194+G195</f>
        <v>28795000</v>
      </c>
      <c r="H193" s="114"/>
      <c r="I193" s="390"/>
      <c r="J193" s="390"/>
      <c r="K193" s="72">
        <f>K194+K195</f>
        <v>0</v>
      </c>
      <c r="L193" s="229">
        <f>L194+L195</f>
        <v>0</v>
      </c>
      <c r="M193" s="229">
        <f t="shared" si="38"/>
        <v>0</v>
      </c>
      <c r="N193" s="72">
        <f>N194+N195</f>
        <v>28795000</v>
      </c>
      <c r="O193" s="72">
        <f>M193*100/E193</f>
        <v>0</v>
      </c>
      <c r="P193" s="295"/>
    </row>
    <row r="194" spans="1:23" ht="60.75" customHeight="1" x14ac:dyDescent="0.35">
      <c r="A194" s="187"/>
      <c r="B194" s="188"/>
      <c r="C194" s="188"/>
      <c r="D194" s="202" t="s">
        <v>490</v>
      </c>
      <c r="E194" s="201">
        <v>27625000</v>
      </c>
      <c r="F194" s="201"/>
      <c r="G194" s="201">
        <v>27625000</v>
      </c>
      <c r="H194" s="325" t="s">
        <v>865</v>
      </c>
      <c r="I194" s="387"/>
      <c r="J194" s="387"/>
      <c r="K194" s="201"/>
      <c r="L194" s="199">
        <v>0</v>
      </c>
      <c r="M194" s="229">
        <f t="shared" si="38"/>
        <v>0</v>
      </c>
      <c r="N194" s="201">
        <f>E194-M194</f>
        <v>27625000</v>
      </c>
      <c r="O194" s="201">
        <f>M194*100/G194</f>
        <v>0</v>
      </c>
      <c r="P194" s="217" t="s">
        <v>444</v>
      </c>
      <c r="Q194" s="296"/>
      <c r="R194" s="296"/>
      <c r="S194" s="296"/>
      <c r="T194" s="296"/>
      <c r="U194" s="296"/>
      <c r="V194" s="296"/>
      <c r="W194" s="296"/>
    </row>
    <row r="195" spans="1:23" ht="60.75" customHeight="1" x14ac:dyDescent="0.35">
      <c r="A195" s="187"/>
      <c r="B195" s="188"/>
      <c r="C195" s="188"/>
      <c r="D195" s="202" t="s">
        <v>491</v>
      </c>
      <c r="E195" s="201">
        <v>1170000</v>
      </c>
      <c r="F195" s="201"/>
      <c r="G195" s="201">
        <v>1170000</v>
      </c>
      <c r="H195" s="325" t="s">
        <v>865</v>
      </c>
      <c r="I195" s="387"/>
      <c r="J195" s="387"/>
      <c r="K195" s="201"/>
      <c r="L195" s="199">
        <v>0</v>
      </c>
      <c r="M195" s="229">
        <f t="shared" si="38"/>
        <v>0</v>
      </c>
      <c r="N195" s="201">
        <f>E195-M195</f>
        <v>1170000</v>
      </c>
      <c r="O195" s="238">
        <f>M195*100/G195</f>
        <v>0</v>
      </c>
      <c r="P195" s="217" t="s">
        <v>444</v>
      </c>
      <c r="Q195" s="296"/>
      <c r="R195" s="296"/>
      <c r="S195" s="296"/>
      <c r="T195" s="296"/>
      <c r="U195" s="296"/>
      <c r="V195" s="296"/>
      <c r="W195" s="296"/>
    </row>
    <row r="196" spans="1:23" ht="21" x14ac:dyDescent="0.35">
      <c r="A196" s="206"/>
      <c r="B196" s="836" t="s">
        <v>492</v>
      </c>
      <c r="C196" s="836"/>
      <c r="D196" s="837"/>
      <c r="E196" s="163">
        <f>E197+E198</f>
        <v>2150000</v>
      </c>
      <c r="F196" s="163"/>
      <c r="G196" s="163">
        <f>G197+G198</f>
        <v>2150000</v>
      </c>
      <c r="H196" s="451"/>
      <c r="I196" s="374"/>
      <c r="J196" s="374"/>
      <c r="K196" s="163">
        <f>K197+K198</f>
        <v>1701000</v>
      </c>
      <c r="L196" s="163">
        <f>L197+L198</f>
        <v>449000</v>
      </c>
      <c r="M196" s="244">
        <f>M197+M198</f>
        <v>0</v>
      </c>
      <c r="N196" s="163">
        <f>E196-M196</f>
        <v>2150000</v>
      </c>
      <c r="O196" s="239">
        <f t="shared" ref="O196:O206" si="39">M196*100/E196</f>
        <v>0</v>
      </c>
      <c r="P196" s="218"/>
      <c r="Q196" s="296"/>
      <c r="R196" s="296"/>
      <c r="S196" s="296"/>
      <c r="T196" s="296"/>
      <c r="U196" s="296"/>
      <c r="V196" s="296"/>
      <c r="W196" s="296"/>
    </row>
    <row r="197" spans="1:23" s="296" customFormat="1" ht="51" customHeight="1" x14ac:dyDescent="0.3">
      <c r="A197" s="828" t="s">
        <v>931</v>
      </c>
      <c r="B197" s="829"/>
      <c r="C197" s="829"/>
      <c r="D197" s="830"/>
      <c r="E197" s="229">
        <v>1150000</v>
      </c>
      <c r="F197" s="229"/>
      <c r="G197" s="229">
        <v>1150000</v>
      </c>
      <c r="H197" s="461" t="s">
        <v>860</v>
      </c>
      <c r="I197" s="405" t="s">
        <v>687</v>
      </c>
      <c r="J197" s="344" t="s">
        <v>748</v>
      </c>
      <c r="K197" s="229">
        <v>890000</v>
      </c>
      <c r="L197" s="229">
        <f>G197-K197</f>
        <v>260000</v>
      </c>
      <c r="M197" s="229">
        <v>0</v>
      </c>
      <c r="N197" s="229">
        <f>G197-M197</f>
        <v>1150000</v>
      </c>
      <c r="O197" s="336">
        <f t="shared" si="39"/>
        <v>0</v>
      </c>
      <c r="P197" s="295" t="s">
        <v>4</v>
      </c>
    </row>
    <row r="198" spans="1:23" s="296" customFormat="1" ht="51" customHeight="1" x14ac:dyDescent="0.3">
      <c r="A198" s="828" t="s">
        <v>932</v>
      </c>
      <c r="B198" s="829"/>
      <c r="C198" s="829"/>
      <c r="D198" s="830"/>
      <c r="E198" s="570">
        <v>1000000</v>
      </c>
      <c r="F198" s="570"/>
      <c r="G198" s="570">
        <v>1000000</v>
      </c>
      <c r="H198" s="405" t="s">
        <v>860</v>
      </c>
      <c r="I198" s="405" t="s">
        <v>687</v>
      </c>
      <c r="J198" s="344" t="s">
        <v>748</v>
      </c>
      <c r="K198" s="570">
        <v>811000</v>
      </c>
      <c r="L198" s="229">
        <f>G198-K198</f>
        <v>189000</v>
      </c>
      <c r="M198" s="229">
        <v>0</v>
      </c>
      <c r="N198" s="229">
        <f>G198-M198</f>
        <v>1000000</v>
      </c>
      <c r="O198" s="336">
        <f t="shared" si="39"/>
        <v>0</v>
      </c>
      <c r="P198" s="295" t="s">
        <v>4</v>
      </c>
    </row>
    <row r="199" spans="1:23" ht="27.75" customHeight="1" x14ac:dyDescent="0.3">
      <c r="A199" s="840" t="s">
        <v>493</v>
      </c>
      <c r="B199" s="841"/>
      <c r="C199" s="841"/>
      <c r="D199" s="842"/>
      <c r="E199" s="184">
        <f>E200+E202</f>
        <v>8500000</v>
      </c>
      <c r="F199" s="184">
        <f>F202</f>
        <v>7500000</v>
      </c>
      <c r="G199" s="184">
        <f>G200</f>
        <v>1000000</v>
      </c>
      <c r="H199" s="450"/>
      <c r="I199" s="373"/>
      <c r="J199" s="373"/>
      <c r="K199" s="184">
        <f>K200</f>
        <v>890000</v>
      </c>
      <c r="L199" s="184">
        <f>L200+L202</f>
        <v>110000</v>
      </c>
      <c r="M199" s="243">
        <f>M200+M202</f>
        <v>170500</v>
      </c>
      <c r="N199" s="184">
        <f>E199-M199</f>
        <v>8329500</v>
      </c>
      <c r="O199" s="232">
        <f t="shared" si="39"/>
        <v>2.0058823529411764</v>
      </c>
      <c r="P199" s="215"/>
      <c r="Q199" s="296"/>
      <c r="R199" s="296"/>
      <c r="S199" s="296"/>
      <c r="T199" s="296"/>
      <c r="U199" s="296"/>
      <c r="V199" s="296"/>
      <c r="W199" s="296"/>
    </row>
    <row r="200" spans="1:23" s="182" customFormat="1" ht="31.5" customHeight="1" x14ac:dyDescent="0.3">
      <c r="A200" s="831" t="s">
        <v>494</v>
      </c>
      <c r="B200" s="832"/>
      <c r="C200" s="832"/>
      <c r="D200" s="833"/>
      <c r="E200" s="163">
        <f>E201</f>
        <v>1000000</v>
      </c>
      <c r="F200" s="163"/>
      <c r="G200" s="163">
        <f>G201</f>
        <v>1000000</v>
      </c>
      <c r="H200" s="451"/>
      <c r="I200" s="374"/>
      <c r="J200" s="374"/>
      <c r="K200" s="163">
        <f>K201</f>
        <v>890000</v>
      </c>
      <c r="L200" s="163">
        <f>L201</f>
        <v>110000</v>
      </c>
      <c r="M200" s="244">
        <f t="shared" si="38"/>
        <v>0</v>
      </c>
      <c r="N200" s="163">
        <f>E200-M200</f>
        <v>1000000</v>
      </c>
      <c r="O200" s="239">
        <f t="shared" si="39"/>
        <v>0</v>
      </c>
      <c r="P200" s="211"/>
      <c r="Q200" s="334"/>
      <c r="R200" s="334"/>
      <c r="S200" s="334"/>
      <c r="T200" s="334"/>
      <c r="U200" s="334"/>
      <c r="V200" s="334"/>
      <c r="W200" s="334"/>
    </row>
    <row r="201" spans="1:23" s="296" customFormat="1" ht="47.25" customHeight="1" x14ac:dyDescent="0.3">
      <c r="A201" s="828" t="s">
        <v>495</v>
      </c>
      <c r="B201" s="829"/>
      <c r="C201" s="829"/>
      <c r="D201" s="830"/>
      <c r="E201" s="571">
        <f>G201</f>
        <v>1000000</v>
      </c>
      <c r="F201" s="571"/>
      <c r="G201" s="571">
        <v>1000000</v>
      </c>
      <c r="H201" s="572" t="s">
        <v>860</v>
      </c>
      <c r="I201" s="572" t="s">
        <v>875</v>
      </c>
      <c r="J201" s="344" t="s">
        <v>876</v>
      </c>
      <c r="K201" s="571">
        <v>890000</v>
      </c>
      <c r="L201" s="236">
        <f>G201-K201</f>
        <v>110000</v>
      </c>
      <c r="M201" s="229">
        <v>0</v>
      </c>
      <c r="N201" s="571">
        <f>G201-M201</f>
        <v>1000000</v>
      </c>
      <c r="O201" s="573">
        <f t="shared" si="39"/>
        <v>0</v>
      </c>
      <c r="P201" s="574" t="s">
        <v>496</v>
      </c>
    </row>
    <row r="202" spans="1:23" ht="21" x14ac:dyDescent="0.35">
      <c r="A202" s="206"/>
      <c r="B202" s="836" t="s">
        <v>497</v>
      </c>
      <c r="C202" s="836"/>
      <c r="D202" s="837"/>
      <c r="E202" s="163">
        <f>E203</f>
        <v>7500000</v>
      </c>
      <c r="F202" s="163">
        <f>F203</f>
        <v>7500000</v>
      </c>
      <c r="G202" s="163"/>
      <c r="H202" s="451"/>
      <c r="I202" s="374"/>
      <c r="J202" s="374"/>
      <c r="K202" s="163">
        <f>K203</f>
        <v>0</v>
      </c>
      <c r="L202" s="163">
        <f>L203</f>
        <v>0</v>
      </c>
      <c r="M202" s="244">
        <f>M203</f>
        <v>170500</v>
      </c>
      <c r="N202" s="163">
        <f>F202-M202</f>
        <v>7329500</v>
      </c>
      <c r="O202" s="239">
        <f t="shared" si="39"/>
        <v>2.2733333333333334</v>
      </c>
      <c r="P202" s="211"/>
      <c r="Q202" s="296"/>
      <c r="R202" s="296"/>
      <c r="S202" s="296"/>
      <c r="T202" s="296"/>
      <c r="U202" s="296"/>
      <c r="V202" s="296"/>
      <c r="W202" s="296"/>
    </row>
    <row r="203" spans="1:23" s="296" customFormat="1" ht="37.5" customHeight="1" x14ac:dyDescent="0.3">
      <c r="A203" s="828" t="s">
        <v>498</v>
      </c>
      <c r="B203" s="829"/>
      <c r="C203" s="829"/>
      <c r="D203" s="830"/>
      <c r="E203" s="575">
        <v>7500000</v>
      </c>
      <c r="F203" s="575">
        <v>7500000</v>
      </c>
      <c r="G203" s="575"/>
      <c r="H203" s="114" t="s">
        <v>862</v>
      </c>
      <c r="I203" s="576"/>
      <c r="J203" s="576"/>
      <c r="K203" s="575"/>
      <c r="L203" s="294"/>
      <c r="M203" s="229">
        <f>123600+4900+6000+36000</f>
        <v>170500</v>
      </c>
      <c r="N203" s="575">
        <f>F203-M203</f>
        <v>7329500</v>
      </c>
      <c r="O203" s="577">
        <f t="shared" si="39"/>
        <v>2.2733333333333334</v>
      </c>
      <c r="P203" s="295" t="s">
        <v>496</v>
      </c>
    </row>
    <row r="204" spans="1:23" ht="21" x14ac:dyDescent="0.3">
      <c r="A204" s="840" t="s">
        <v>499</v>
      </c>
      <c r="B204" s="841"/>
      <c r="C204" s="841"/>
      <c r="D204" s="842"/>
      <c r="E204" s="184">
        <f>E205</f>
        <v>18000000</v>
      </c>
      <c r="F204" s="184">
        <f>F205</f>
        <v>18000000</v>
      </c>
      <c r="G204" s="184"/>
      <c r="H204" s="450"/>
      <c r="I204" s="373"/>
      <c r="J204" s="373"/>
      <c r="K204" s="184">
        <f>K205</f>
        <v>0</v>
      </c>
      <c r="L204" s="184">
        <f>L205</f>
        <v>0</v>
      </c>
      <c r="M204" s="243">
        <f t="shared" si="38"/>
        <v>0</v>
      </c>
      <c r="N204" s="184">
        <f>E204-M204</f>
        <v>18000000</v>
      </c>
      <c r="O204" s="184">
        <f t="shared" si="39"/>
        <v>0</v>
      </c>
      <c r="P204" s="209"/>
      <c r="Q204" s="296"/>
      <c r="R204" s="296"/>
      <c r="S204" s="296"/>
      <c r="T204" s="296"/>
      <c r="U204" s="296"/>
      <c r="V204" s="296"/>
      <c r="W204" s="296"/>
    </row>
    <row r="205" spans="1:23" ht="21" x14ac:dyDescent="0.35">
      <c r="A205" s="206"/>
      <c r="B205" s="836" t="s">
        <v>500</v>
      </c>
      <c r="C205" s="836"/>
      <c r="D205" s="837"/>
      <c r="E205" s="163">
        <f>E206+E208</f>
        <v>18000000</v>
      </c>
      <c r="F205" s="163">
        <f>F206+F208</f>
        <v>18000000</v>
      </c>
      <c r="G205" s="163"/>
      <c r="H205" s="451"/>
      <c r="I205" s="374"/>
      <c r="J205" s="374"/>
      <c r="K205" s="163">
        <f>K206+K208</f>
        <v>0</v>
      </c>
      <c r="L205" s="163">
        <f>L206+L208</f>
        <v>0</v>
      </c>
      <c r="M205" s="244">
        <f>M206+M208</f>
        <v>0</v>
      </c>
      <c r="N205" s="163">
        <f>F205-M205</f>
        <v>18000000</v>
      </c>
      <c r="O205" s="163">
        <f t="shared" si="39"/>
        <v>0</v>
      </c>
      <c r="P205" s="211"/>
      <c r="Q205" s="296"/>
      <c r="R205" s="296"/>
      <c r="S205" s="296"/>
      <c r="T205" s="296"/>
      <c r="U205" s="296"/>
      <c r="V205" s="296"/>
      <c r="W205" s="296"/>
    </row>
    <row r="206" spans="1:23" s="253" customFormat="1" ht="24" customHeight="1" x14ac:dyDescent="0.35">
      <c r="A206" s="251"/>
      <c r="B206" s="252"/>
      <c r="C206" s="838" t="s">
        <v>501</v>
      </c>
      <c r="D206" s="839"/>
      <c r="E206" s="290">
        <f>E207</f>
        <v>15000000</v>
      </c>
      <c r="F206" s="290">
        <f>F207</f>
        <v>15000000</v>
      </c>
      <c r="G206" s="290"/>
      <c r="H206" s="459"/>
      <c r="I206" s="391"/>
      <c r="J206" s="391"/>
      <c r="K206" s="290">
        <f>K207</f>
        <v>0</v>
      </c>
      <c r="L206" s="290">
        <f>L207</f>
        <v>0</v>
      </c>
      <c r="M206" s="269">
        <v>0</v>
      </c>
      <c r="N206" s="290">
        <f>N207+N208</f>
        <v>18000000</v>
      </c>
      <c r="O206" s="290">
        <f t="shared" si="39"/>
        <v>0</v>
      </c>
      <c r="P206" s="262"/>
      <c r="Q206" s="296"/>
      <c r="R206" s="296"/>
      <c r="S206" s="296"/>
      <c r="T206" s="296"/>
      <c r="U206" s="296"/>
      <c r="V206" s="296"/>
      <c r="W206" s="296"/>
    </row>
    <row r="207" spans="1:23" s="296" customFormat="1" ht="61.5" customHeight="1" x14ac:dyDescent="0.3">
      <c r="A207" s="828" t="s">
        <v>502</v>
      </c>
      <c r="B207" s="829"/>
      <c r="C207" s="829"/>
      <c r="D207" s="830"/>
      <c r="E207" s="294">
        <v>15000000</v>
      </c>
      <c r="F207" s="294">
        <v>15000000</v>
      </c>
      <c r="G207" s="294"/>
      <c r="H207" s="114" t="s">
        <v>862</v>
      </c>
      <c r="I207" s="578"/>
      <c r="J207" s="578"/>
      <c r="K207" s="294"/>
      <c r="L207" s="294"/>
      <c r="M207" s="229">
        <v>0</v>
      </c>
      <c r="N207" s="294">
        <f>F207-M207</f>
        <v>15000000</v>
      </c>
      <c r="O207" s="294">
        <f>M207*100/F207</f>
        <v>0</v>
      </c>
      <c r="P207" s="295" t="s">
        <v>460</v>
      </c>
    </row>
    <row r="208" spans="1:23" s="296" customFormat="1" ht="60" customHeight="1" x14ac:dyDescent="0.3">
      <c r="A208" s="828" t="s">
        <v>503</v>
      </c>
      <c r="B208" s="829"/>
      <c r="C208" s="829"/>
      <c r="D208" s="830"/>
      <c r="E208" s="294">
        <v>3000000</v>
      </c>
      <c r="F208" s="294">
        <v>3000000</v>
      </c>
      <c r="G208" s="294"/>
      <c r="H208" s="114" t="s">
        <v>862</v>
      </c>
      <c r="I208" s="578"/>
      <c r="J208" s="578"/>
      <c r="K208" s="294"/>
      <c r="L208" s="294">
        <v>0</v>
      </c>
      <c r="M208" s="229">
        <v>0</v>
      </c>
      <c r="N208" s="294">
        <f>F208-M208</f>
        <v>3000000</v>
      </c>
      <c r="O208" s="294">
        <f>M208*100/F208</f>
        <v>0</v>
      </c>
      <c r="P208" s="295" t="s">
        <v>460</v>
      </c>
    </row>
    <row r="209" spans="1:23" ht="21" x14ac:dyDescent="0.35">
      <c r="A209" s="845" t="s">
        <v>504</v>
      </c>
      <c r="B209" s="846"/>
      <c r="C209" s="846"/>
      <c r="D209" s="847"/>
      <c r="E209" s="155">
        <f>E8+E144</f>
        <v>933802100</v>
      </c>
      <c r="F209" s="155">
        <f>F8+F144</f>
        <v>195943400</v>
      </c>
      <c r="G209" s="155">
        <f>G8+G144</f>
        <v>737858700</v>
      </c>
      <c r="H209" s="448"/>
      <c r="I209" s="367"/>
      <c r="J209" s="367"/>
      <c r="K209" s="155">
        <f>K8+K144</f>
        <v>543809871.20000005</v>
      </c>
      <c r="L209" s="233">
        <f>L8+L144</f>
        <v>65053875.799999997</v>
      </c>
      <c r="M209" s="233">
        <f>M8+M144</f>
        <v>43393241.670000002</v>
      </c>
      <c r="N209" s="233">
        <f>N8+N144</f>
        <v>890408858.32999992</v>
      </c>
      <c r="O209" s="233">
        <f>M209*100/R8</f>
        <v>4.8724949813345395</v>
      </c>
      <c r="P209" s="156"/>
      <c r="Q209" s="296"/>
      <c r="R209" s="296"/>
      <c r="S209" s="296"/>
      <c r="T209" s="296"/>
      <c r="U209" s="296"/>
      <c r="V209" s="296"/>
      <c r="W209" s="296"/>
    </row>
    <row r="210" spans="1:23" x14ac:dyDescent="0.3">
      <c r="Q210" s="296"/>
      <c r="R210" s="296"/>
      <c r="S210" s="296"/>
      <c r="T210" s="296"/>
      <c r="U210" s="296"/>
      <c r="V210" s="296"/>
      <c r="W210" s="296"/>
    </row>
    <row r="211" spans="1:23" x14ac:dyDescent="0.3">
      <c r="A211" s="848"/>
      <c r="B211" s="849"/>
      <c r="C211" s="849"/>
      <c r="D211" s="849"/>
      <c r="E211" s="849"/>
      <c r="F211" s="849"/>
      <c r="G211" s="849"/>
      <c r="H211" s="849"/>
      <c r="I211" s="849"/>
      <c r="J211" s="849"/>
      <c r="K211" s="849"/>
      <c r="L211" s="849"/>
      <c r="M211" s="849"/>
      <c r="N211" s="849"/>
      <c r="O211" s="849"/>
      <c r="P211" s="849"/>
    </row>
  </sheetData>
  <mergeCells count="94">
    <mergeCell ref="A1:P1"/>
    <mergeCell ref="A2:P2"/>
    <mergeCell ref="A3:D3"/>
    <mergeCell ref="E3:P3"/>
    <mergeCell ref="H4:L5"/>
    <mergeCell ref="A4:D6"/>
    <mergeCell ref="P4:P6"/>
    <mergeCell ref="A69:D69"/>
    <mergeCell ref="A7:D7"/>
    <mergeCell ref="A8:D8"/>
    <mergeCell ref="A9:D9"/>
    <mergeCell ref="B10:D10"/>
    <mergeCell ref="C11:D11"/>
    <mergeCell ref="C26:D26"/>
    <mergeCell ref="A31:D31"/>
    <mergeCell ref="B33:D33"/>
    <mergeCell ref="C35:D35"/>
    <mergeCell ref="C51:D51"/>
    <mergeCell ref="C65:D65"/>
    <mergeCell ref="B34:D34"/>
    <mergeCell ref="A32:D32"/>
    <mergeCell ref="C84:D84"/>
    <mergeCell ref="B70:D70"/>
    <mergeCell ref="C71:D71"/>
    <mergeCell ref="B72:D72"/>
    <mergeCell ref="C73:D73"/>
    <mergeCell ref="A74:D74"/>
    <mergeCell ref="B75:D75"/>
    <mergeCell ref="C76:D76"/>
    <mergeCell ref="B80:D80"/>
    <mergeCell ref="C81:D81"/>
    <mergeCell ref="A82:D82"/>
    <mergeCell ref="B83:D83"/>
    <mergeCell ref="A135:D135"/>
    <mergeCell ref="C85:D85"/>
    <mergeCell ref="B86:D86"/>
    <mergeCell ref="C87:D87"/>
    <mergeCell ref="A89:D89"/>
    <mergeCell ref="B90:D90"/>
    <mergeCell ref="C91:D91"/>
    <mergeCell ref="B128:D128"/>
    <mergeCell ref="A130:D130"/>
    <mergeCell ref="A131:D131"/>
    <mergeCell ref="B132:D132"/>
    <mergeCell ref="B133:D133"/>
    <mergeCell ref="A88:B88"/>
    <mergeCell ref="B134:D134"/>
    <mergeCell ref="A143:D143"/>
    <mergeCell ref="A144:D144"/>
    <mergeCell ref="A145:D145"/>
    <mergeCell ref="B146:D146"/>
    <mergeCell ref="C164:D164"/>
    <mergeCell ref="A138:D138"/>
    <mergeCell ref="A139:D139"/>
    <mergeCell ref="A140:D140"/>
    <mergeCell ref="A141:D141"/>
    <mergeCell ref="A142:D142"/>
    <mergeCell ref="A209:D209"/>
    <mergeCell ref="A211:P211"/>
    <mergeCell ref="E4:G5"/>
    <mergeCell ref="M4:O5"/>
    <mergeCell ref="B202:D202"/>
    <mergeCell ref="A204:D204"/>
    <mergeCell ref="B205:D205"/>
    <mergeCell ref="C206:D206"/>
    <mergeCell ref="B196:D196"/>
    <mergeCell ref="A199:D199"/>
    <mergeCell ref="C176:D176"/>
    <mergeCell ref="C169:D169"/>
    <mergeCell ref="B172:D172"/>
    <mergeCell ref="C147:D147"/>
    <mergeCell ref="A136:D136"/>
    <mergeCell ref="A137:D137"/>
    <mergeCell ref="C173:D173"/>
    <mergeCell ref="B175:D175"/>
    <mergeCell ref="B148:D148"/>
    <mergeCell ref="C165:D165"/>
    <mergeCell ref="C166:D166"/>
    <mergeCell ref="C167:D167"/>
    <mergeCell ref="C168:D168"/>
    <mergeCell ref="C149:D149"/>
    <mergeCell ref="A152:D152"/>
    <mergeCell ref="B153:D153"/>
    <mergeCell ref="C154:D154"/>
    <mergeCell ref="C163:D163"/>
    <mergeCell ref="C170:D170"/>
    <mergeCell ref="C171:D171"/>
    <mergeCell ref="A197:D197"/>
    <mergeCell ref="A198:D198"/>
    <mergeCell ref="A207:D207"/>
    <mergeCell ref="A208:D208"/>
    <mergeCell ref="A203:D203"/>
    <mergeCell ref="A201:D201"/>
    <mergeCell ref="A200:D200"/>
  </mergeCells>
  <pageMargins left="0.19685039370078741" right="0.19685039370078741" top="0.19685039370078741" bottom="0.19685039370078741" header="0.19685039370078741" footer="0.19685039370078741"/>
  <pageSetup paperSize="9" scale="6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14</vt:i4>
      </vt:variant>
      <vt:variant>
        <vt:lpstr>ช่วงที่มีชื่อ</vt:lpstr>
      </vt:variant>
      <vt:variant>
        <vt:i4>11</vt:i4>
      </vt:variant>
    </vt:vector>
  </HeadingPairs>
  <TitlesOfParts>
    <vt:vector size="25" baseType="lpstr">
      <vt:lpstr>งบจังหวัด60</vt:lpstr>
      <vt:lpstr>งบกลุ่ม60</vt:lpstr>
      <vt:lpstr>งบ 8 ล้าน</vt:lpstr>
      <vt:lpstr>เหมียว 250000</vt:lpstr>
      <vt:lpstr>หน้างบจังหวัด</vt:lpstr>
      <vt:lpstr>งบเร่งด่วน 2 ล้านบาท</vt:lpstr>
      <vt:lpstr>หน้างบกลุ่มจังหวัด</vt:lpstr>
      <vt:lpstr>งบ 60 (เพิ่มเติม)</vt:lpstr>
      <vt:lpstr>Sheet1</vt:lpstr>
      <vt:lpstr>งบเร่งด่วน 1500000 (รอบ 2 )</vt:lpstr>
      <vt:lpstr>60 (เพิ่มเติม) ใหม่</vt:lpstr>
      <vt:lpstr>งบอาหารกลางวัน</vt:lpstr>
      <vt:lpstr>งบ 2500000 (เพิ่มเติม)</vt:lpstr>
      <vt:lpstr>Sheet2</vt:lpstr>
      <vt:lpstr>'60 (เพิ่มเติม) ใหม่'!Print_Area</vt:lpstr>
      <vt:lpstr>'งบ 8 ล้าน'!Print_Area</vt:lpstr>
      <vt:lpstr>งบกลุ่ม60!Print_Area</vt:lpstr>
      <vt:lpstr>งบจังหวัด60!Print_Area</vt:lpstr>
      <vt:lpstr>'60 (เพิ่มเติม) ใหม่'!Print_Titles</vt:lpstr>
      <vt:lpstr>'งบ 60 (เพิ่มเติม)'!Print_Titles</vt:lpstr>
      <vt:lpstr>'งบ 8 ล้าน'!Print_Titles</vt:lpstr>
      <vt:lpstr>งบกลุ่ม60!Print_Titles</vt:lpstr>
      <vt:lpstr>งบจังหวัด60!Print_Titles</vt:lpstr>
      <vt:lpstr>หน้างบกลุ่มจังหวัด!Print_Titles</vt:lpstr>
      <vt:lpstr>หน้างบจังหวัด!Print_Titles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com_pc</dc:creator>
  <cp:lastModifiedBy>jass</cp:lastModifiedBy>
  <cp:lastPrinted>2017-09-22T07:03:48Z</cp:lastPrinted>
  <dcterms:created xsi:type="dcterms:W3CDTF">2016-09-06T02:27:04Z</dcterms:created>
  <dcterms:modified xsi:type="dcterms:W3CDTF">2017-09-22T07:44:30Z</dcterms:modified>
</cp:coreProperties>
</file>